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515" windowHeight="6915" activeTab="0"/>
  </bookViews>
  <sheets>
    <sheet name="Spell Maker" sheetId="1" r:id="rId1"/>
    <sheet name="Change Control" sheetId="2" r:id="rId2"/>
    <sheet name="Rejects" sheetId="3" r:id="rId3"/>
  </sheets>
  <definedNames/>
  <calcPr fullCalcOnLoad="1"/>
</workbook>
</file>

<file path=xl/sharedStrings.xml><?xml version="1.0" encoding="utf-8"?>
<sst xmlns="http://schemas.openxmlformats.org/spreadsheetml/2006/main" count="279" uniqueCount="101">
  <si>
    <t>Duration:</t>
  </si>
  <si>
    <t>Target(s):</t>
  </si>
  <si>
    <t>Surcharge</t>
  </si>
  <si>
    <t>Options</t>
  </si>
  <si>
    <t>---</t>
  </si>
  <si>
    <t>Total:</t>
  </si>
  <si>
    <t>Damage:</t>
  </si>
  <si>
    <t>To Hit:</t>
  </si>
  <si>
    <t>a. Until spell is dropped</t>
  </si>
  <si>
    <t>b. Until eo-current situation</t>
  </si>
  <si>
    <t>a. Automatic</t>
  </si>
  <si>
    <t>a. Caster only</t>
  </si>
  <si>
    <t>b. Any single target</t>
  </si>
  <si>
    <t>c. Split among multiple targets</t>
  </si>
  <si>
    <t>c. Non-Regen (or less)</t>
  </si>
  <si>
    <t>b. Lethal (or less)</t>
  </si>
  <si>
    <t>a. Non-lethal (only)</t>
  </si>
  <si>
    <t>c. Until eo-next related act</t>
  </si>
  <si>
    <t>Skill defined when spell is learned</t>
  </si>
  <si>
    <t>c. Until spell is dropped</t>
  </si>
  <si>
    <t>Medium defined when spell is learned</t>
  </si>
  <si>
    <t>a. For 1 round</t>
  </si>
  <si>
    <t>Sense and spectrum part defined when spell is learned</t>
  </si>
  <si>
    <t>b. Roll as if to hit</t>
  </si>
  <si>
    <t>Other spell effects may be added to increase creature's stats</t>
  </si>
  <si>
    <t>Specific species within type defined when spell is learned</t>
  </si>
  <si>
    <t>Creature:</t>
  </si>
  <si>
    <t>New appearance defined when spell is learned</t>
  </si>
  <si>
    <t>Units:</t>
  </si>
  <si>
    <t>Adds individual attacks, not sequences of attacks</t>
  </si>
  <si>
    <t>Additional attacks must be load-balanced across all available attacks</t>
  </si>
  <si>
    <t>Random roll to see when half attacks are performed</t>
  </si>
  <si>
    <t>a. Different Race (Int =&gt; 5)</t>
  </si>
  <si>
    <t>b. Monster (Int = 3 or 4)</t>
  </si>
  <si>
    <t>c. Animal (Int = 1 or 2)</t>
  </si>
  <si>
    <t>d. Other (Int = 0)</t>
  </si>
  <si>
    <t>Spell effect is covered by various other spells more specifically in terms of game mechanics.  Due to the unknown aspect of what trait is modified and the various mechanics potentially impacted it is impossible to accurately gauge the MP equivalence appropriate for this stated change.</t>
  </si>
  <si>
    <t>Due to the unknown amount of potential damage this spell is capable of generating it is impossible to accurately gauge the MP equivalence appropriate for this stated change.</t>
  </si>
  <si>
    <t>d. Crippling (or less)</t>
  </si>
  <si>
    <t>All negative HPs must be restored at once for corpse to be brought back to life.</t>
  </si>
  <si>
    <t>Otherwise, no HPs are restored and the corpse is still dead.</t>
  </si>
  <si>
    <t>e. Death* (or less)</t>
  </si>
  <si>
    <t>* Death refers to HPs &lt;= Death Point. This version of the spell is all or nothing.</t>
  </si>
  <si>
    <t>Target must be healed above Death Point by a single spell in order to be brought back to life.</t>
  </si>
  <si>
    <t>Otherwise, no healing occurs and the target is still dead.</t>
  </si>
  <si>
    <t>Modified Heal spell instead</t>
  </si>
  <si>
    <t>Resistance defined when spell is learned</t>
  </si>
  <si>
    <t>x. Immediate</t>
  </si>
  <si>
    <t>Resist damage from inhospitable environment / weather</t>
  </si>
  <si>
    <t>Allow communication with another type of creature</t>
  </si>
  <si>
    <t>at normal move speed</t>
  </si>
  <si>
    <t>* each path = 1 unit of variance</t>
  </si>
  <si>
    <t>Allow travel through a different medium</t>
  </si>
  <si>
    <t>Allow seeing or hearing in a different part of the spectrum</t>
  </si>
  <si>
    <t>at normal accuity</t>
  </si>
  <si>
    <t>(Think of Captain Kirk as a Romulan)</t>
  </si>
  <si>
    <t>Can change apparent age, health, wealth, sub-culture, etc.</t>
  </si>
  <si>
    <t>Target = person, up to person-sized object, 100'x100' area,20'x20'x20' structure</t>
  </si>
  <si>
    <t>Control:</t>
  </si>
  <si>
    <t>a. Reactive only</t>
  </si>
  <si>
    <t>b. Programmable</t>
  </si>
  <si>
    <t>c. DM's NPC</t>
  </si>
  <si>
    <t>d. Player's Character</t>
  </si>
  <si>
    <t>HD=0, HPs=0, Sz=M, Def=10, Mv=12", AS/Dam=1-2 or by weapon</t>
  </si>
  <si>
    <t>General appearance defined when spell is learned</t>
  </si>
  <si>
    <t>No bonus or penalty for standard abilities</t>
  </si>
  <si>
    <t>everything needed to convince even an intimately familiar observer.</t>
  </si>
  <si>
    <t>Alteration covers look, sound, scent, mannerisms, tracks, and</t>
  </si>
  <si>
    <t>New appearance will reflect basic characteristics of true form.</t>
  </si>
  <si>
    <t>No save is given to dis-believe the new appearance.</t>
  </si>
  <si>
    <t>However, no stats are changed and no knowledge is bestowed.</t>
  </si>
  <si>
    <t>Version</t>
  </si>
  <si>
    <t>Date</t>
  </si>
  <si>
    <t>Comments</t>
  </si>
  <si>
    <t>Official initial version</t>
  </si>
  <si>
    <t>Can not use any weapon and armor without defined secondary skills</t>
  </si>
  <si>
    <t>Schedule 1</t>
  </si>
  <si>
    <t>Schedule 2</t>
  </si>
  <si>
    <t>Schedule 3</t>
  </si>
  <si>
    <t>Schedule 4a</t>
  </si>
  <si>
    <t>Schedule 4b</t>
  </si>
  <si>
    <t>Schedule 5a</t>
  </si>
  <si>
    <t>Schedule 5b</t>
  </si>
  <si>
    <t>Schedule 6</t>
  </si>
  <si>
    <t>Schedule 7</t>
  </si>
  <si>
    <t>Cost = 2MP / Unit</t>
  </si>
  <si>
    <t>fixed</t>
  </si>
  <si>
    <t xml:space="preserve">Allow travel through a different medium (e.g. fly) </t>
  </si>
  <si>
    <t xml:space="preserve">Allow seeing or hearing in a different part of the spectrum (e.g. infrared) </t>
  </si>
  <si>
    <t>Schedules</t>
  </si>
  <si>
    <t>Effect Multiplier</t>
  </si>
  <si>
    <t>Spells Effects</t>
  </si>
  <si>
    <t>Schedule 8 (optional)</t>
  </si>
  <si>
    <t>Special:</t>
  </si>
  <si>
    <t>b. Restriction on when spell works</t>
  </si>
  <si>
    <t>c. Special when spell works better</t>
  </si>
  <si>
    <t>b. Examples of restrictions include the following:</t>
  </si>
  <si>
    <t>a. No special</t>
  </si>
  <si>
    <t>human targets only, works only at night, caster can't wear armor</t>
  </si>
  <si>
    <t>c. Specials follow same pattern as restrictions in (b) above.</t>
  </si>
  <si>
    <t>Spell effect is typically improved by 1 unit.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</si>
</sst>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Arial"/>
      <family val="2"/>
    </font>
    <font>
      <sz val="10"/>
      <color indexed="22"/>
      <name val="Arial"/>
      <family val="0"/>
    </font>
    <font>
      <b/>
      <sz val="9"/>
      <name val="Arial"/>
      <family val="2"/>
    </font>
    <font>
      <sz val="9"/>
      <name val="Arial"/>
      <family val="2"/>
    </font>
    <font>
      <i/>
      <sz val="9"/>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50"/>
        <bgColor indexed="64"/>
      </patternFill>
    </fill>
    <fill>
      <patternFill patternType="solid">
        <fgColor indexed="52"/>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0" fontId="1"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quotePrefix="1">
      <alignment horizontal="right"/>
    </xf>
    <xf numFmtId="0" fontId="0" fillId="0" borderId="0" xfId="0" applyFont="1" applyAlignment="1">
      <alignment/>
    </xf>
    <xf numFmtId="0" fontId="4" fillId="33" borderId="0" xfId="0" applyFont="1" applyFill="1" applyAlignment="1">
      <alignment/>
    </xf>
    <xf numFmtId="0" fontId="0" fillId="34" borderId="0" xfId="0" applyFill="1" applyAlignment="1">
      <alignment horizontal="left"/>
    </xf>
    <xf numFmtId="0" fontId="0" fillId="34" borderId="0" xfId="0" applyFill="1" applyAlignment="1">
      <alignment/>
    </xf>
    <xf numFmtId="0" fontId="0" fillId="34" borderId="0" xfId="0" applyFill="1" applyAlignment="1">
      <alignment/>
    </xf>
    <xf numFmtId="0" fontId="0" fillId="35" borderId="0" xfId="0" applyFill="1" applyAlignment="1">
      <alignment horizontal="left"/>
    </xf>
    <xf numFmtId="0" fontId="0" fillId="35" borderId="0" xfId="0" applyFill="1" applyAlignment="1">
      <alignment/>
    </xf>
    <xf numFmtId="0" fontId="0" fillId="35" borderId="0" xfId="0" applyFill="1" applyAlignment="1">
      <alignment/>
    </xf>
    <xf numFmtId="0" fontId="4" fillId="0" borderId="0" xfId="0" applyFont="1" applyFill="1" applyAlignment="1">
      <alignment/>
    </xf>
    <xf numFmtId="0" fontId="0" fillId="36" borderId="0" xfId="0" applyFill="1" applyAlignment="1">
      <alignment horizontal="left"/>
    </xf>
    <xf numFmtId="0" fontId="0" fillId="36" borderId="0" xfId="0" applyFill="1" applyAlignment="1">
      <alignment horizontal="center"/>
    </xf>
    <xf numFmtId="0" fontId="0" fillId="36" borderId="0" xfId="0" applyFill="1" applyAlignment="1">
      <alignment/>
    </xf>
    <xf numFmtId="0" fontId="1" fillId="0" borderId="0" xfId="0" applyFont="1" applyAlignment="1">
      <alignment horizontal="center"/>
    </xf>
    <xf numFmtId="168" fontId="0" fillId="0" borderId="0" xfId="0" applyNumberFormat="1" applyAlignment="1" quotePrefix="1">
      <alignment horizontal="center"/>
    </xf>
    <xf numFmtId="14" fontId="0" fillId="0" borderId="0" xfId="0" applyNumberFormat="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0" fontId="8" fillId="35" borderId="0" xfId="0" applyFont="1" applyFill="1" applyAlignment="1">
      <alignment horizontal="left"/>
    </xf>
    <xf numFmtId="0" fontId="9" fillId="35" borderId="0" xfId="0" applyFont="1" applyFill="1" applyAlignment="1">
      <alignment/>
    </xf>
    <xf numFmtId="0" fontId="9" fillId="35" borderId="0" xfId="0" applyFont="1" applyFill="1" applyAlignment="1">
      <alignment horizontal="center"/>
    </xf>
    <xf numFmtId="0" fontId="8" fillId="35" borderId="0" xfId="0" applyFont="1" applyFill="1" applyAlignment="1">
      <alignment/>
    </xf>
    <xf numFmtId="0" fontId="8" fillId="35" borderId="0" xfId="0" applyFont="1" applyFill="1" applyAlignment="1">
      <alignment/>
    </xf>
    <xf numFmtId="0" fontId="8" fillId="37" borderId="0" xfId="0" applyFont="1" applyFill="1" applyAlignment="1">
      <alignment/>
    </xf>
    <xf numFmtId="0" fontId="9" fillId="37" borderId="0" xfId="0" applyFont="1" applyFill="1" applyAlignment="1">
      <alignment/>
    </xf>
    <xf numFmtId="0" fontId="9" fillId="37" borderId="0" xfId="0" applyFont="1" applyFill="1" applyAlignment="1">
      <alignment horizontal="center"/>
    </xf>
    <xf numFmtId="0" fontId="8" fillId="37" borderId="0" xfId="0" applyFont="1" applyFill="1" applyAlignment="1">
      <alignment/>
    </xf>
    <xf numFmtId="0" fontId="8" fillId="34" borderId="0" xfId="0" applyFont="1" applyFill="1" applyAlignment="1">
      <alignment horizontal="left"/>
    </xf>
    <xf numFmtId="0" fontId="9" fillId="34" borderId="0" xfId="0" applyFont="1" applyFill="1" applyAlignment="1">
      <alignment/>
    </xf>
    <xf numFmtId="0" fontId="9" fillId="34" borderId="0" xfId="0" applyFont="1" applyFill="1" applyAlignment="1">
      <alignment horizontal="center"/>
    </xf>
    <xf numFmtId="0" fontId="8" fillId="34" borderId="0" xfId="0" applyFont="1" applyFill="1" applyAlignment="1">
      <alignment/>
    </xf>
    <xf numFmtId="0" fontId="8" fillId="34" borderId="0" xfId="0" applyFont="1" applyFill="1" applyAlignment="1">
      <alignment/>
    </xf>
    <xf numFmtId="0" fontId="8" fillId="38" borderId="0" xfId="0" applyFont="1" applyFill="1" applyAlignment="1">
      <alignment horizontal="left"/>
    </xf>
    <xf numFmtId="0" fontId="9" fillId="38" borderId="0" xfId="0" applyFont="1" applyFill="1" applyAlignment="1">
      <alignment/>
    </xf>
    <xf numFmtId="0" fontId="9" fillId="38" borderId="0" xfId="0" applyFont="1" applyFill="1" applyAlignment="1">
      <alignment horizontal="center"/>
    </xf>
    <xf numFmtId="0" fontId="8" fillId="38" borderId="0" xfId="0" applyFont="1" applyFill="1" applyAlignment="1">
      <alignment/>
    </xf>
    <xf numFmtId="0" fontId="8" fillId="38" borderId="0" xfId="0" applyFont="1" applyFill="1" applyAlignment="1">
      <alignment/>
    </xf>
    <xf numFmtId="0" fontId="8" fillId="39" borderId="0" xfId="0" applyFont="1" applyFill="1" applyAlignment="1">
      <alignment/>
    </xf>
    <xf numFmtId="0" fontId="9" fillId="39" borderId="0" xfId="0" applyFont="1" applyFill="1" applyAlignment="1">
      <alignment/>
    </xf>
    <xf numFmtId="0" fontId="9" fillId="39" borderId="0" xfId="0" applyFont="1" applyFill="1" applyAlignment="1">
      <alignment horizontal="center"/>
    </xf>
    <xf numFmtId="0" fontId="8" fillId="39"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xf>
    <xf numFmtId="0" fontId="8" fillId="36" borderId="0" xfId="0" applyFont="1" applyFill="1" applyAlignment="1">
      <alignment horizontal="left"/>
    </xf>
    <xf numFmtId="0" fontId="8" fillId="36" borderId="0" xfId="0" applyFont="1" applyFill="1" applyAlignment="1">
      <alignment horizontal="center"/>
    </xf>
    <xf numFmtId="0" fontId="8" fillId="35" borderId="0" xfId="0" applyFont="1" applyFill="1" applyAlignment="1">
      <alignment horizontal="center"/>
    </xf>
    <xf numFmtId="0" fontId="8" fillId="34" borderId="0" xfId="0" applyFont="1" applyFill="1" applyAlignment="1">
      <alignment horizontal="center"/>
    </xf>
    <xf numFmtId="0" fontId="8" fillId="38" borderId="0" xfId="0" applyFont="1" applyFill="1" applyAlignment="1">
      <alignment horizontal="center"/>
    </xf>
    <xf numFmtId="0" fontId="8" fillId="0" borderId="0" xfId="0" applyFont="1" applyFill="1" applyAlignment="1">
      <alignment horizontal="left"/>
    </xf>
    <xf numFmtId="0" fontId="9" fillId="0" borderId="0" xfId="0" applyFont="1" applyFill="1" applyAlignment="1">
      <alignment horizontal="left"/>
    </xf>
    <xf numFmtId="0" fontId="8" fillId="0" borderId="0" xfId="0" applyFont="1" applyAlignment="1">
      <alignment horizontal="left"/>
    </xf>
    <xf numFmtId="0" fontId="8" fillId="37" borderId="0" xfId="0" applyFont="1" applyFill="1" applyAlignment="1">
      <alignment horizontal="left"/>
    </xf>
    <xf numFmtId="0" fontId="8" fillId="37" borderId="0" xfId="0" applyFont="1" applyFill="1" applyAlignment="1">
      <alignment horizontal="center"/>
    </xf>
    <xf numFmtId="0" fontId="9" fillId="0" borderId="0" xfId="0" applyFont="1" applyAlignment="1">
      <alignment/>
    </xf>
    <xf numFmtId="0" fontId="9" fillId="0" borderId="0" xfId="0" applyFont="1" applyFill="1" applyAlignment="1">
      <alignment/>
    </xf>
    <xf numFmtId="0" fontId="8" fillId="39" borderId="0" xfId="0" applyFont="1" applyFill="1" applyAlignment="1">
      <alignment horizontal="left"/>
    </xf>
    <xf numFmtId="0" fontId="8" fillId="39" borderId="0" xfId="0" applyFont="1" applyFill="1" applyAlignment="1">
      <alignment horizontal="center"/>
    </xf>
    <xf numFmtId="0" fontId="5" fillId="0" borderId="0" xfId="0" applyFont="1" applyAlignment="1">
      <alignment horizontal="right"/>
    </xf>
    <xf numFmtId="0" fontId="8" fillId="39" borderId="0" xfId="0" applyFont="1" applyFill="1" applyAlignment="1">
      <alignment/>
    </xf>
    <xf numFmtId="0" fontId="9" fillId="39" borderId="0" xfId="0" applyFont="1" applyFill="1" applyAlignment="1">
      <alignment/>
    </xf>
    <xf numFmtId="0" fontId="9" fillId="39" borderId="0" xfId="0" applyFont="1" applyFill="1" applyAlignment="1">
      <alignment horizontal="center"/>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0" fontId="8" fillId="39" borderId="0" xfId="0" applyFont="1" applyFill="1" applyAlignment="1">
      <alignment/>
    </xf>
    <xf numFmtId="0" fontId="8" fillId="39" borderId="0" xfId="0" applyFont="1" applyFill="1" applyAlignment="1">
      <alignment horizontal="center"/>
    </xf>
    <xf numFmtId="0" fontId="8" fillId="0" borderId="0" xfId="0" applyFont="1" applyAlignment="1">
      <alignment horizontal="left" indent="1"/>
    </xf>
    <xf numFmtId="0" fontId="0" fillId="0" borderId="0" xfId="0" applyAlignment="1">
      <alignment horizontal="left" indent="1"/>
    </xf>
    <xf numFmtId="0" fontId="9" fillId="39" borderId="0" xfId="0" applyFont="1" applyFill="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0" fontId="0" fillId="0" borderId="0" xfId="0" applyAlignment="1">
      <alignment horizontal="right"/>
    </xf>
    <xf numFmtId="0" fontId="8" fillId="0" borderId="0" xfId="0" applyFont="1" applyFill="1" applyAlignment="1">
      <alignment horizontal="right"/>
    </xf>
    <xf numFmtId="0" fontId="8" fillId="36" borderId="0" xfId="0" applyFont="1" applyFill="1" applyAlignment="1">
      <alignment horizontal="right"/>
    </xf>
    <xf numFmtId="0" fontId="8" fillId="35" borderId="0" xfId="0" applyFont="1" applyFill="1" applyAlignment="1" quotePrefix="1">
      <alignment horizontal="right"/>
    </xf>
    <xf numFmtId="0" fontId="8" fillId="34" borderId="0" xfId="0" applyFont="1" applyFill="1" applyAlignment="1">
      <alignment horizontal="right"/>
    </xf>
    <xf numFmtId="0" fontId="8" fillId="38" borderId="0" xfId="0" applyFont="1" applyFill="1" applyAlignment="1" quotePrefix="1">
      <alignment horizontal="right"/>
    </xf>
    <xf numFmtId="0" fontId="11" fillId="0" borderId="0" xfId="0" applyFont="1" applyAlignment="1">
      <alignment horizontal="right"/>
    </xf>
    <xf numFmtId="0" fontId="8" fillId="0" borderId="0" xfId="0" applyFont="1" applyAlignment="1">
      <alignment horizontal="right"/>
    </xf>
    <xf numFmtId="0" fontId="8" fillId="37" borderId="0" xfId="0" applyFont="1" applyFill="1" applyAlignment="1" quotePrefix="1">
      <alignment horizontal="right"/>
    </xf>
    <xf numFmtId="0" fontId="8" fillId="35" borderId="0" xfId="0" applyFont="1" applyFill="1" applyAlignment="1">
      <alignment horizontal="right"/>
    </xf>
    <xf numFmtId="0" fontId="8" fillId="39" borderId="0" xfId="0" applyFont="1" applyFill="1" applyAlignment="1">
      <alignment horizontal="right"/>
    </xf>
    <xf numFmtId="0" fontId="9"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40</xdr:row>
      <xdr:rowOff>95250</xdr:rowOff>
    </xdr:from>
    <xdr:to>
      <xdr:col>2</xdr:col>
      <xdr:colOff>1352550</xdr:colOff>
      <xdr:row>42</xdr:row>
      <xdr:rowOff>66675</xdr:rowOff>
    </xdr:to>
    <xdr:sp>
      <xdr:nvSpPr>
        <xdr:cNvPr id="1" name="Oval 1"/>
        <xdr:cNvSpPr>
          <a:spLocks/>
        </xdr:cNvSpPr>
      </xdr:nvSpPr>
      <xdr:spPr>
        <a:xfrm>
          <a:off x="1704975" y="6572250"/>
          <a:ext cx="866775"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Walk</a:t>
          </a:r>
        </a:p>
      </xdr:txBody>
    </xdr:sp>
    <xdr:clientData/>
  </xdr:twoCellAnchor>
  <xdr:twoCellAnchor>
    <xdr:from>
      <xdr:col>2</xdr:col>
      <xdr:colOff>1219200</xdr:colOff>
      <xdr:row>37</xdr:row>
      <xdr:rowOff>66675</xdr:rowOff>
    </xdr:from>
    <xdr:to>
      <xdr:col>3</xdr:col>
      <xdr:colOff>171450</xdr:colOff>
      <xdr:row>39</xdr:row>
      <xdr:rowOff>38100</xdr:rowOff>
    </xdr:to>
    <xdr:sp>
      <xdr:nvSpPr>
        <xdr:cNvPr id="2" name="Oval 2"/>
        <xdr:cNvSpPr>
          <a:spLocks/>
        </xdr:cNvSpPr>
      </xdr:nvSpPr>
      <xdr:spPr>
        <a:xfrm>
          <a:off x="2438400" y="6057900"/>
          <a:ext cx="533400"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Fly</a:t>
          </a:r>
        </a:p>
      </xdr:txBody>
    </xdr:sp>
    <xdr:clientData/>
  </xdr:twoCellAnchor>
  <xdr:twoCellAnchor>
    <xdr:from>
      <xdr:col>0</xdr:col>
      <xdr:colOff>133350</xdr:colOff>
      <xdr:row>40</xdr:row>
      <xdr:rowOff>95250</xdr:rowOff>
    </xdr:from>
    <xdr:to>
      <xdr:col>2</xdr:col>
      <xdr:colOff>209550</xdr:colOff>
      <xdr:row>42</xdr:row>
      <xdr:rowOff>66675</xdr:rowOff>
    </xdr:to>
    <xdr:sp>
      <xdr:nvSpPr>
        <xdr:cNvPr id="3" name="Oval 3"/>
        <xdr:cNvSpPr>
          <a:spLocks/>
        </xdr:cNvSpPr>
      </xdr:nvSpPr>
      <xdr:spPr>
        <a:xfrm>
          <a:off x="133350" y="6572250"/>
          <a:ext cx="1295400"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Swim</a:t>
          </a:r>
        </a:p>
      </xdr:txBody>
    </xdr:sp>
    <xdr:clientData/>
  </xdr:twoCellAnchor>
  <xdr:twoCellAnchor>
    <xdr:from>
      <xdr:col>2</xdr:col>
      <xdr:colOff>1581150</xdr:colOff>
      <xdr:row>40</xdr:row>
      <xdr:rowOff>95250</xdr:rowOff>
    </xdr:from>
    <xdr:to>
      <xdr:col>4</xdr:col>
      <xdr:colOff>28575</xdr:colOff>
      <xdr:row>42</xdr:row>
      <xdr:rowOff>66675</xdr:rowOff>
    </xdr:to>
    <xdr:sp>
      <xdr:nvSpPr>
        <xdr:cNvPr id="4" name="Oval 4"/>
        <xdr:cNvSpPr>
          <a:spLocks/>
        </xdr:cNvSpPr>
      </xdr:nvSpPr>
      <xdr:spPr>
        <a:xfrm>
          <a:off x="2800350" y="6572250"/>
          <a:ext cx="638175"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Swing</a:t>
          </a:r>
        </a:p>
      </xdr:txBody>
    </xdr:sp>
    <xdr:clientData/>
  </xdr:twoCellAnchor>
  <xdr:twoCellAnchor>
    <xdr:from>
      <xdr:col>2</xdr:col>
      <xdr:colOff>485775</xdr:colOff>
      <xdr:row>43</xdr:row>
      <xdr:rowOff>85725</xdr:rowOff>
    </xdr:from>
    <xdr:to>
      <xdr:col>2</xdr:col>
      <xdr:colOff>1352550</xdr:colOff>
      <xdr:row>45</xdr:row>
      <xdr:rowOff>57150</xdr:rowOff>
    </xdr:to>
    <xdr:sp>
      <xdr:nvSpPr>
        <xdr:cNvPr id="5" name="Oval 5"/>
        <xdr:cNvSpPr>
          <a:spLocks/>
        </xdr:cNvSpPr>
      </xdr:nvSpPr>
      <xdr:spPr>
        <a:xfrm>
          <a:off x="1704975" y="7048500"/>
          <a:ext cx="866775"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Burrow</a:t>
          </a:r>
        </a:p>
      </xdr:txBody>
    </xdr:sp>
    <xdr:clientData/>
  </xdr:twoCellAnchor>
  <xdr:twoCellAnchor>
    <xdr:from>
      <xdr:col>2</xdr:col>
      <xdr:colOff>923925</xdr:colOff>
      <xdr:row>39</xdr:row>
      <xdr:rowOff>38100</xdr:rowOff>
    </xdr:from>
    <xdr:to>
      <xdr:col>2</xdr:col>
      <xdr:colOff>1581150</xdr:colOff>
      <xdr:row>40</xdr:row>
      <xdr:rowOff>95250</xdr:rowOff>
    </xdr:to>
    <xdr:sp>
      <xdr:nvSpPr>
        <xdr:cNvPr id="6" name="AutoShape 6"/>
        <xdr:cNvSpPr>
          <a:spLocks/>
        </xdr:cNvSpPr>
      </xdr:nvSpPr>
      <xdr:spPr>
        <a:xfrm rot="16200000">
          <a:off x="2143125" y="6353175"/>
          <a:ext cx="657225" cy="219075"/>
        </a:xfrm>
        <a:prstGeom prst="curvedConnector3">
          <a:avLst>
            <a:gd name="adj" fmla="val -2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41</xdr:row>
      <xdr:rowOff>85725</xdr:rowOff>
    </xdr:from>
    <xdr:to>
      <xdr:col>2</xdr:col>
      <xdr:colOff>485775</xdr:colOff>
      <xdr:row>41</xdr:row>
      <xdr:rowOff>85725</xdr:rowOff>
    </xdr:to>
    <xdr:sp>
      <xdr:nvSpPr>
        <xdr:cNvPr id="7" name="AutoShape 7"/>
        <xdr:cNvSpPr>
          <a:spLocks/>
        </xdr:cNvSpPr>
      </xdr:nvSpPr>
      <xdr:spPr>
        <a:xfrm rot="10800000">
          <a:off x="1428750" y="6724650"/>
          <a:ext cx="2762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1352550</xdr:colOff>
      <xdr:row>41</xdr:row>
      <xdr:rowOff>85725</xdr:rowOff>
    </xdr:from>
    <xdr:to>
      <xdr:col>2</xdr:col>
      <xdr:colOff>1581150</xdr:colOff>
      <xdr:row>41</xdr:row>
      <xdr:rowOff>85725</xdr:rowOff>
    </xdr:to>
    <xdr:sp>
      <xdr:nvSpPr>
        <xdr:cNvPr id="8" name="AutoShape 8"/>
        <xdr:cNvSpPr>
          <a:spLocks/>
        </xdr:cNvSpPr>
      </xdr:nvSpPr>
      <xdr:spPr>
        <a:xfrm>
          <a:off x="2571750" y="6724650"/>
          <a:ext cx="228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923925</xdr:colOff>
      <xdr:row>42</xdr:row>
      <xdr:rowOff>66675</xdr:rowOff>
    </xdr:from>
    <xdr:to>
      <xdr:col>2</xdr:col>
      <xdr:colOff>923925</xdr:colOff>
      <xdr:row>43</xdr:row>
      <xdr:rowOff>85725</xdr:rowOff>
    </xdr:to>
    <xdr:sp>
      <xdr:nvSpPr>
        <xdr:cNvPr id="9" name="AutoShape 9"/>
        <xdr:cNvSpPr>
          <a:spLocks/>
        </xdr:cNvSpPr>
      </xdr:nvSpPr>
      <xdr:spPr>
        <a:xfrm rot="5400000">
          <a:off x="2143125" y="6867525"/>
          <a:ext cx="0" cy="1809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59</xdr:row>
      <xdr:rowOff>19050</xdr:rowOff>
    </xdr:from>
    <xdr:to>
      <xdr:col>2</xdr:col>
      <xdr:colOff>190500</xdr:colOff>
      <xdr:row>60</xdr:row>
      <xdr:rowOff>152400</xdr:rowOff>
    </xdr:to>
    <xdr:sp>
      <xdr:nvSpPr>
        <xdr:cNvPr id="10" name="Oval 10"/>
        <xdr:cNvSpPr>
          <a:spLocks/>
        </xdr:cNvSpPr>
      </xdr:nvSpPr>
      <xdr:spPr>
        <a:xfrm>
          <a:off x="114300" y="9572625"/>
          <a:ext cx="1295400"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Visible</a:t>
          </a:r>
        </a:p>
      </xdr:txBody>
    </xdr:sp>
    <xdr:clientData/>
  </xdr:twoCellAnchor>
  <xdr:twoCellAnchor>
    <xdr:from>
      <xdr:col>2</xdr:col>
      <xdr:colOff>400050</xdr:colOff>
      <xdr:row>57</xdr:row>
      <xdr:rowOff>9525</xdr:rowOff>
    </xdr:from>
    <xdr:to>
      <xdr:col>2</xdr:col>
      <xdr:colOff>1447800</xdr:colOff>
      <xdr:row>58</xdr:row>
      <xdr:rowOff>142875</xdr:rowOff>
    </xdr:to>
    <xdr:sp>
      <xdr:nvSpPr>
        <xdr:cNvPr id="11" name="Oval 11"/>
        <xdr:cNvSpPr>
          <a:spLocks/>
        </xdr:cNvSpPr>
      </xdr:nvSpPr>
      <xdr:spPr>
        <a:xfrm>
          <a:off x="1619250" y="9239250"/>
          <a:ext cx="1047750"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DuskVision</a:t>
          </a:r>
        </a:p>
      </xdr:txBody>
    </xdr:sp>
    <xdr:clientData/>
  </xdr:twoCellAnchor>
  <xdr:twoCellAnchor>
    <xdr:from>
      <xdr:col>2</xdr:col>
      <xdr:colOff>1514475</xdr:colOff>
      <xdr:row>59</xdr:row>
      <xdr:rowOff>28575</xdr:rowOff>
    </xdr:from>
    <xdr:to>
      <xdr:col>4</xdr:col>
      <xdr:colOff>38100</xdr:colOff>
      <xdr:row>61</xdr:row>
      <xdr:rowOff>0</xdr:rowOff>
    </xdr:to>
    <xdr:sp>
      <xdr:nvSpPr>
        <xdr:cNvPr id="12" name="Oval 12"/>
        <xdr:cNvSpPr>
          <a:spLocks/>
        </xdr:cNvSpPr>
      </xdr:nvSpPr>
      <xdr:spPr>
        <a:xfrm>
          <a:off x="2733675" y="9582150"/>
          <a:ext cx="714375"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DarkVision</a:t>
          </a:r>
        </a:p>
      </xdr:txBody>
    </xdr:sp>
    <xdr:clientData/>
  </xdr:twoCellAnchor>
  <xdr:twoCellAnchor>
    <xdr:from>
      <xdr:col>2</xdr:col>
      <xdr:colOff>1152525</xdr:colOff>
      <xdr:row>62</xdr:row>
      <xdr:rowOff>76200</xdr:rowOff>
    </xdr:from>
    <xdr:to>
      <xdr:col>3</xdr:col>
      <xdr:colOff>285750</xdr:colOff>
      <xdr:row>64</xdr:row>
      <xdr:rowOff>47625</xdr:rowOff>
    </xdr:to>
    <xdr:sp>
      <xdr:nvSpPr>
        <xdr:cNvPr id="13" name="Oval 13"/>
        <xdr:cNvSpPr>
          <a:spLocks/>
        </xdr:cNvSpPr>
      </xdr:nvSpPr>
      <xdr:spPr>
        <a:xfrm>
          <a:off x="2371725" y="10115550"/>
          <a:ext cx="714375"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See Invisible</a:t>
          </a:r>
        </a:p>
      </xdr:txBody>
    </xdr:sp>
    <xdr:clientData/>
  </xdr:twoCellAnchor>
  <xdr:twoCellAnchor>
    <xdr:from>
      <xdr:col>1</xdr:col>
      <xdr:colOff>390525</xdr:colOff>
      <xdr:row>62</xdr:row>
      <xdr:rowOff>76200</xdr:rowOff>
    </xdr:from>
    <xdr:to>
      <xdr:col>2</xdr:col>
      <xdr:colOff>828675</xdr:colOff>
      <xdr:row>64</xdr:row>
      <xdr:rowOff>47625</xdr:rowOff>
    </xdr:to>
    <xdr:sp>
      <xdr:nvSpPr>
        <xdr:cNvPr id="14" name="Oval 14"/>
        <xdr:cNvSpPr>
          <a:spLocks/>
        </xdr:cNvSpPr>
      </xdr:nvSpPr>
      <xdr:spPr>
        <a:xfrm>
          <a:off x="1000125" y="10115550"/>
          <a:ext cx="1047750" cy="2952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See Etherial</a:t>
          </a:r>
        </a:p>
      </xdr:txBody>
    </xdr:sp>
    <xdr:clientData/>
  </xdr:twoCellAnchor>
  <xdr:twoCellAnchor>
    <xdr:from>
      <xdr:col>1</xdr:col>
      <xdr:colOff>371475</xdr:colOff>
      <xdr:row>58</xdr:row>
      <xdr:rowOff>0</xdr:rowOff>
    </xdr:from>
    <xdr:to>
      <xdr:col>2</xdr:col>
      <xdr:colOff>400050</xdr:colOff>
      <xdr:row>59</xdr:row>
      <xdr:rowOff>19050</xdr:rowOff>
    </xdr:to>
    <xdr:sp>
      <xdr:nvSpPr>
        <xdr:cNvPr id="15" name="AutoShape 15"/>
        <xdr:cNvSpPr>
          <a:spLocks/>
        </xdr:cNvSpPr>
      </xdr:nvSpPr>
      <xdr:spPr>
        <a:xfrm rot="16200000">
          <a:off x="981075" y="9391650"/>
          <a:ext cx="638175" cy="180975"/>
        </a:xfrm>
        <a:prstGeom prst="curved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1447800</xdr:colOff>
      <xdr:row>58</xdr:row>
      <xdr:rowOff>0</xdr:rowOff>
    </xdr:from>
    <xdr:to>
      <xdr:col>3</xdr:col>
      <xdr:colOff>123825</xdr:colOff>
      <xdr:row>59</xdr:row>
      <xdr:rowOff>28575</xdr:rowOff>
    </xdr:to>
    <xdr:sp>
      <xdr:nvSpPr>
        <xdr:cNvPr id="16" name="AutoShape 16"/>
        <xdr:cNvSpPr>
          <a:spLocks/>
        </xdr:cNvSpPr>
      </xdr:nvSpPr>
      <xdr:spPr>
        <a:xfrm>
          <a:off x="2667000" y="9391650"/>
          <a:ext cx="257175" cy="190500"/>
        </a:xfrm>
        <a:prstGeom prst="curved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1581150</xdr:colOff>
      <xdr:row>61</xdr:row>
      <xdr:rowOff>0</xdr:rowOff>
    </xdr:from>
    <xdr:to>
      <xdr:col>3</xdr:col>
      <xdr:colOff>123825</xdr:colOff>
      <xdr:row>62</xdr:row>
      <xdr:rowOff>76200</xdr:rowOff>
    </xdr:to>
    <xdr:sp>
      <xdr:nvSpPr>
        <xdr:cNvPr id="17" name="AutoShape 17"/>
        <xdr:cNvSpPr>
          <a:spLocks/>
        </xdr:cNvSpPr>
      </xdr:nvSpPr>
      <xdr:spPr>
        <a:xfrm rot="5400000">
          <a:off x="2800350" y="9877425"/>
          <a:ext cx="123825" cy="238125"/>
        </a:xfrm>
        <a:prstGeom prst="curvedConnector3">
          <a:avLst>
            <a:gd name="adj" fmla="val -2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828675</xdr:colOff>
      <xdr:row>63</xdr:row>
      <xdr:rowOff>66675</xdr:rowOff>
    </xdr:from>
    <xdr:to>
      <xdr:col>2</xdr:col>
      <xdr:colOff>1152525</xdr:colOff>
      <xdr:row>63</xdr:row>
      <xdr:rowOff>66675</xdr:rowOff>
    </xdr:to>
    <xdr:sp>
      <xdr:nvSpPr>
        <xdr:cNvPr id="18" name="AutoShape 18"/>
        <xdr:cNvSpPr>
          <a:spLocks/>
        </xdr:cNvSpPr>
      </xdr:nvSpPr>
      <xdr:spPr>
        <a:xfrm rot="10800000">
          <a:off x="2047875" y="10267950"/>
          <a:ext cx="323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38"/>
  <sheetViews>
    <sheetView tabSelected="1" zoomScale="115" zoomScaleNormal="115" zoomScalePageLayoutView="0" workbookViewId="0" topLeftCell="A1">
      <selection activeCell="B75" sqref="B75"/>
    </sheetView>
  </sheetViews>
  <sheetFormatPr defaultColWidth="9.140625" defaultRowHeight="12.75"/>
  <cols>
    <col min="1" max="1" width="2.7109375" style="1" customWidth="1"/>
    <col min="2" max="2" width="8.8515625" style="0" bestFit="1" customWidth="1"/>
    <col min="3" max="3" width="28.7109375" style="2" customWidth="1"/>
    <col min="4" max="4" width="16.140625" style="28" bestFit="1" customWidth="1"/>
    <col min="5" max="5" width="10.00390625" style="91" bestFit="1" customWidth="1"/>
    <col min="9" max="9" width="2.7109375" style="0" customWidth="1"/>
    <col min="11" max="11" width="28.7109375" style="0" customWidth="1"/>
  </cols>
  <sheetData>
    <row r="1" ht="18">
      <c r="G1" s="75" t="s">
        <v>91</v>
      </c>
    </row>
    <row r="2" spans="1:5" s="31" customFormat="1" ht="12">
      <c r="A2" s="57" t="str">
        <f>"Heal hit points by an average of "&amp;2*C3&amp;" [per unit]"</f>
        <v>Heal hit points by an average of 2 [per unit]</v>
      </c>
      <c r="B2" s="58"/>
      <c r="C2" s="59"/>
      <c r="D2" s="60"/>
      <c r="E2" s="92"/>
    </row>
    <row r="3" spans="1:5" s="31" customFormat="1" ht="12">
      <c r="A3" s="57"/>
      <c r="B3" s="61" t="str">
        <f>$G$227</f>
        <v>Units:</v>
      </c>
      <c r="C3" s="62">
        <v>1</v>
      </c>
      <c r="D3" s="62" t="s">
        <v>85</v>
      </c>
      <c r="E3" s="93">
        <f>IF(C3&lt;=1,2*C3,2*C3+1)</f>
        <v>2</v>
      </c>
    </row>
    <row r="4" spans="1:5" s="31" customFormat="1" ht="12">
      <c r="A4" s="57"/>
      <c r="B4" s="34" t="str">
        <f>$B$174</f>
        <v>Duration:</v>
      </c>
      <c r="C4" s="34" t="s">
        <v>47</v>
      </c>
      <c r="D4" s="63" t="s">
        <v>86</v>
      </c>
      <c r="E4" s="94">
        <v>0</v>
      </c>
    </row>
    <row r="5" spans="1:5" s="31" customFormat="1" ht="12">
      <c r="A5" s="57"/>
      <c r="B5" s="43" t="str">
        <f>$B$191</f>
        <v>Target(s):</v>
      </c>
      <c r="C5" s="47" t="s">
        <v>11</v>
      </c>
      <c r="D5" s="64" t="s">
        <v>79</v>
      </c>
      <c r="E5" s="95">
        <f>LOOKUP(C5,$C$192:$C$194,$D$192:$D$194)</f>
        <v>0</v>
      </c>
    </row>
    <row r="6" spans="1:5" s="31" customFormat="1" ht="12">
      <c r="A6" s="57"/>
      <c r="B6" s="48" t="str">
        <f>$B$202</f>
        <v>Damage:</v>
      </c>
      <c r="C6" s="52" t="s">
        <v>15</v>
      </c>
      <c r="D6" s="65" t="s">
        <v>81</v>
      </c>
      <c r="E6" s="96">
        <f>LOOKUP(C6,$C$203:$C$207,$D$203:$D$207)</f>
        <v>0</v>
      </c>
    </row>
    <row r="7" spans="1:5" s="31" customFormat="1" ht="12">
      <c r="A7" s="57"/>
      <c r="B7" s="66" t="str">
        <f>$G$228</f>
        <v>Total:</v>
      </c>
      <c r="C7" s="59"/>
      <c r="D7" s="60"/>
      <c r="E7" s="92">
        <f>SUM(E3:E6)</f>
        <v>2</v>
      </c>
    </row>
    <row r="8" spans="1:5" s="31" customFormat="1" ht="12">
      <c r="A8" s="57"/>
      <c r="B8" s="67" t="s">
        <v>42</v>
      </c>
      <c r="C8" s="59"/>
      <c r="D8" s="60"/>
      <c r="E8" s="92"/>
    </row>
    <row r="9" spans="1:5" s="31" customFormat="1" ht="12">
      <c r="A9" s="57"/>
      <c r="B9" s="67" t="s">
        <v>43</v>
      </c>
      <c r="C9" s="59"/>
      <c r="D9" s="60"/>
      <c r="E9" s="92"/>
    </row>
    <row r="10" spans="1:5" s="31" customFormat="1" ht="12">
      <c r="A10" s="57"/>
      <c r="B10" s="67" t="s">
        <v>44</v>
      </c>
      <c r="C10" s="59"/>
      <c r="D10" s="60"/>
      <c r="E10" s="92"/>
    </row>
    <row r="11" spans="1:5" s="88" customFormat="1" ht="11.25">
      <c r="A11" s="87"/>
      <c r="C11" s="89"/>
      <c r="D11" s="90"/>
      <c r="E11" s="97"/>
    </row>
    <row r="12" spans="1:5" s="31" customFormat="1" ht="12">
      <c r="A12" s="30" t="s">
        <v>48</v>
      </c>
      <c r="C12" s="32"/>
      <c r="D12" s="33"/>
      <c r="E12" s="98"/>
    </row>
    <row r="13" spans="1:5" s="31" customFormat="1" ht="12">
      <c r="A13" s="30" t="str">
        <f>"for up to an average of "&amp;2*C14*LOOKUP(C15,$C$175:$C$177,$D$175:$D$177)&amp;" points per turn [per unit]"</f>
        <v>for up to an average of 2 points per turn [per unit]</v>
      </c>
      <c r="C13" s="32"/>
      <c r="D13" s="33"/>
      <c r="E13" s="98"/>
    </row>
    <row r="14" spans="1:5" s="31" customFormat="1" ht="12">
      <c r="A14" s="30"/>
      <c r="B14" s="61" t="str">
        <f>$G$227</f>
        <v>Units:</v>
      </c>
      <c r="C14" s="62">
        <v>1</v>
      </c>
      <c r="D14" s="62" t="s">
        <v>85</v>
      </c>
      <c r="E14" s="93">
        <f>IF(C14&lt;=1,2*C14,2*C14+1)</f>
        <v>2</v>
      </c>
    </row>
    <row r="15" spans="1:7" s="31" customFormat="1" ht="12">
      <c r="A15" s="30"/>
      <c r="B15" s="34" t="str">
        <f>$B$174</f>
        <v>Duration:</v>
      </c>
      <c r="C15" s="38" t="s">
        <v>8</v>
      </c>
      <c r="D15" s="63" t="s">
        <v>76</v>
      </c>
      <c r="E15" s="94" t="s">
        <v>4</v>
      </c>
      <c r="F15" s="58"/>
      <c r="G15" s="58"/>
    </row>
    <row r="16" spans="1:5" s="31" customFormat="1" ht="12">
      <c r="A16" s="30"/>
      <c r="B16" s="43" t="str">
        <f>$B$191</f>
        <v>Target(s):</v>
      </c>
      <c r="C16" s="47" t="s">
        <v>11</v>
      </c>
      <c r="D16" s="64" t="s">
        <v>79</v>
      </c>
      <c r="E16" s="95">
        <f>LOOKUP(C16,$C$192:$C$194,$D$192:$D$194)</f>
        <v>0</v>
      </c>
    </row>
    <row r="17" spans="1:5" s="31" customFormat="1" ht="12">
      <c r="A17" s="30"/>
      <c r="B17" s="48" t="str">
        <f>$B$210</f>
        <v>Damage:</v>
      </c>
      <c r="C17" s="52" t="s">
        <v>15</v>
      </c>
      <c r="D17" s="65" t="s">
        <v>82</v>
      </c>
      <c r="E17" s="96">
        <f>LOOKUP(C17,$C$211:$C$214,$D$211:$D$214)</f>
        <v>0</v>
      </c>
    </row>
    <row r="18" spans="1:5" s="31" customFormat="1" ht="12">
      <c r="A18" s="30"/>
      <c r="B18" s="68" t="str">
        <f>$G$228</f>
        <v>Total:</v>
      </c>
      <c r="C18" s="32"/>
      <c r="D18" s="33"/>
      <c r="E18" s="98">
        <f>SUM(E14:E17)</f>
        <v>2</v>
      </c>
    </row>
    <row r="19" spans="1:5" s="88" customFormat="1" ht="11.25">
      <c r="A19" s="87"/>
      <c r="C19" s="89"/>
      <c r="D19" s="90"/>
      <c r="E19" s="97"/>
    </row>
    <row r="20" spans="1:8" s="31" customFormat="1" ht="12">
      <c r="A20" s="30" t="str">
        <f>"Increase current / maximum hit points by an average of "&amp;2*C21*LOOKUP(C22,$C$175:$C$177,$D$175:$D$177)&amp;" [per unit]"</f>
        <v>Increase current / maximum hit points by an average of 2 [per unit]</v>
      </c>
      <c r="C20" s="32"/>
      <c r="D20" s="33"/>
      <c r="E20" s="98"/>
      <c r="H20" s="58"/>
    </row>
    <row r="21" spans="1:8" s="31" customFormat="1" ht="12">
      <c r="A21" s="30"/>
      <c r="B21" s="61" t="str">
        <f>$G$227</f>
        <v>Units:</v>
      </c>
      <c r="C21" s="62">
        <v>1</v>
      </c>
      <c r="D21" s="62" t="s">
        <v>85</v>
      </c>
      <c r="E21" s="93">
        <f>IF(C21&lt;=1,2*C21,2*C21+1)</f>
        <v>2</v>
      </c>
      <c r="H21" s="58"/>
    </row>
    <row r="22" spans="1:8" s="31" customFormat="1" ht="12">
      <c r="A22" s="30"/>
      <c r="B22" s="34" t="str">
        <f>$B$174</f>
        <v>Duration:</v>
      </c>
      <c r="C22" s="38" t="s">
        <v>8</v>
      </c>
      <c r="D22" s="63" t="s">
        <v>76</v>
      </c>
      <c r="E22" s="94" t="s">
        <v>4</v>
      </c>
      <c r="F22" s="58"/>
      <c r="G22" s="58"/>
      <c r="H22" s="58"/>
    </row>
    <row r="23" spans="1:8" s="31" customFormat="1" ht="12">
      <c r="A23" s="30"/>
      <c r="B23" s="43" t="str">
        <f>$B$191</f>
        <v>Target(s):</v>
      </c>
      <c r="C23" s="47" t="s">
        <v>11</v>
      </c>
      <c r="D23" s="64" t="s">
        <v>79</v>
      </c>
      <c r="E23" s="95">
        <f>LOOKUP(C23,$C$192:$C$194,$D$192:$D$194)</f>
        <v>0</v>
      </c>
      <c r="H23" s="58"/>
    </row>
    <row r="24" spans="1:8" s="31" customFormat="1" ht="12">
      <c r="A24" s="30"/>
      <c r="B24" s="68" t="str">
        <f>$G$228</f>
        <v>Total:</v>
      </c>
      <c r="C24" s="32"/>
      <c r="D24" s="33"/>
      <c r="E24" s="98">
        <f>SUM(E21:E23)</f>
        <v>2</v>
      </c>
      <c r="H24" s="58"/>
    </row>
    <row r="25" spans="1:5" s="88" customFormat="1" ht="11.25">
      <c r="A25" s="87"/>
      <c r="C25" s="89"/>
      <c r="D25" s="90"/>
      <c r="E25" s="97"/>
    </row>
    <row r="26" spans="1:5" s="31" customFormat="1" ht="12">
      <c r="A26" s="30" t="str">
        <f>"Damage hit points by an average of "&amp;2*C27*LOOKUP(C30,$C$187:$C$188,$D$187:$D$188)&amp;" [per unit]"</f>
        <v>Damage hit points by an average of 2 [per unit]</v>
      </c>
      <c r="C26" s="32"/>
      <c r="D26" s="33"/>
      <c r="E26" s="98"/>
    </row>
    <row r="27" spans="1:5" s="31" customFormat="1" ht="12">
      <c r="A27" s="30"/>
      <c r="B27" s="61" t="str">
        <f>$G$227</f>
        <v>Units:</v>
      </c>
      <c r="C27" s="62">
        <v>1</v>
      </c>
      <c r="D27" s="62" t="s">
        <v>85</v>
      </c>
      <c r="E27" s="93">
        <f>IF(C27&lt;=1,2*C27,2*C27+1)</f>
        <v>2</v>
      </c>
    </row>
    <row r="28" spans="1:5" s="31" customFormat="1" ht="12">
      <c r="A28" s="57"/>
      <c r="B28" s="34" t="str">
        <f>$B$174</f>
        <v>Duration:</v>
      </c>
      <c r="C28" s="34" t="s">
        <v>47</v>
      </c>
      <c r="D28" s="63" t="s">
        <v>86</v>
      </c>
      <c r="E28" s="94">
        <v>0</v>
      </c>
    </row>
    <row r="29" spans="1:5" s="31" customFormat="1" ht="12">
      <c r="A29" s="30"/>
      <c r="B29" s="43" t="str">
        <f>$B$197</f>
        <v>Target(s):</v>
      </c>
      <c r="C29" s="47" t="s">
        <v>12</v>
      </c>
      <c r="D29" s="64" t="s">
        <v>80</v>
      </c>
      <c r="E29" s="95">
        <f>LOOKUP(C29,$C$198:$C$199,$D$198:$D$199)</f>
        <v>0</v>
      </c>
    </row>
    <row r="30" spans="1:5" s="31" customFormat="1" ht="12">
      <c r="A30" s="30"/>
      <c r="B30" s="69" t="str">
        <f>$B$186</f>
        <v>To Hit:</v>
      </c>
      <c r="C30" s="42" t="s">
        <v>10</v>
      </c>
      <c r="D30" s="70" t="s">
        <v>78</v>
      </c>
      <c r="E30" s="99" t="s">
        <v>4</v>
      </c>
    </row>
    <row r="31" spans="1:5" s="31" customFormat="1" ht="12">
      <c r="A31" s="30"/>
      <c r="B31" s="48" t="str">
        <f>$B$210</f>
        <v>Damage:</v>
      </c>
      <c r="C31" s="52" t="s">
        <v>15</v>
      </c>
      <c r="D31" s="65" t="s">
        <v>82</v>
      </c>
      <c r="E31" s="96">
        <f>LOOKUP(C31,$C$211:$C$214,$D$211:$D$214)</f>
        <v>0</v>
      </c>
    </row>
    <row r="32" spans="1:5" s="31" customFormat="1" ht="12">
      <c r="A32" s="30"/>
      <c r="B32" s="68" t="str">
        <f>$G$228</f>
        <v>Total:</v>
      </c>
      <c r="C32" s="32"/>
      <c r="D32" s="33"/>
      <c r="E32" s="98">
        <f>SUM(E27:E31)</f>
        <v>2</v>
      </c>
    </row>
    <row r="33" spans="1:5" s="88" customFormat="1" ht="11.25">
      <c r="A33" s="87"/>
      <c r="C33" s="89"/>
      <c r="D33" s="90"/>
      <c r="E33" s="97"/>
    </row>
    <row r="34" spans="1:5" s="31" customFormat="1" ht="12">
      <c r="A34" s="30" t="str">
        <f>"Increase defense by an average of "&amp;1*C35*LOOKUP(C36,$C$175:$C$177,$D$175:$D$177)&amp;" [per unit]"</f>
        <v>Increase defense by an average of 1 [per unit]</v>
      </c>
      <c r="C34" s="32"/>
      <c r="D34" s="33"/>
      <c r="E34" s="98"/>
    </row>
    <row r="35" spans="1:5" s="31" customFormat="1" ht="12">
      <c r="A35" s="30"/>
      <c r="B35" s="61" t="str">
        <f>$G$227</f>
        <v>Units:</v>
      </c>
      <c r="C35" s="62">
        <v>1</v>
      </c>
      <c r="D35" s="62" t="s">
        <v>85</v>
      </c>
      <c r="E35" s="93">
        <f>IF(C35&lt;=1,2*C35,2*C35+1)</f>
        <v>2</v>
      </c>
    </row>
    <row r="36" spans="1:7" s="31" customFormat="1" ht="12">
      <c r="A36" s="30"/>
      <c r="B36" s="34" t="str">
        <f>$B$174</f>
        <v>Duration:</v>
      </c>
      <c r="C36" s="38" t="s">
        <v>8</v>
      </c>
      <c r="D36" s="63" t="s">
        <v>76</v>
      </c>
      <c r="E36" s="94" t="s">
        <v>4</v>
      </c>
      <c r="F36" s="58"/>
      <c r="G36" s="58"/>
    </row>
    <row r="37" spans="1:5" s="31" customFormat="1" ht="12">
      <c r="A37" s="30"/>
      <c r="B37" s="43" t="str">
        <f>$B$191</f>
        <v>Target(s):</v>
      </c>
      <c r="C37" s="47" t="s">
        <v>11</v>
      </c>
      <c r="D37" s="64" t="s">
        <v>79</v>
      </c>
      <c r="E37" s="95">
        <f>LOOKUP(C37,$C$192:$C$194,$D$192:$D$194)</f>
        <v>0</v>
      </c>
    </row>
    <row r="38" spans="1:5" s="31" customFormat="1" ht="12">
      <c r="A38" s="30"/>
      <c r="B38" s="68" t="str">
        <f>$G$228</f>
        <v>Total:</v>
      </c>
      <c r="C38" s="32"/>
      <c r="D38" s="33"/>
      <c r="E38" s="98">
        <f>SUM(E35:E37)</f>
        <v>2</v>
      </c>
    </row>
    <row r="39" spans="1:5" s="88" customFormat="1" ht="11.25">
      <c r="A39" s="87"/>
      <c r="C39" s="89"/>
      <c r="D39" s="90"/>
      <c r="E39" s="97"/>
    </row>
    <row r="40" spans="1:5" s="31" customFormat="1" ht="12">
      <c r="A40" s="57" t="str">
        <f>"Decrease defense by an average of "&amp;1*C41*LOOKUP(C44,$C$187:$C$188,$D$187:$D$188)&amp;" [per unit]"</f>
        <v>Decrease defense by an average of 1 [per unit]</v>
      </c>
      <c r="B40" s="58"/>
      <c r="C40" s="59"/>
      <c r="D40" s="60"/>
      <c r="E40" s="92"/>
    </row>
    <row r="41" spans="1:5" s="31" customFormat="1" ht="12">
      <c r="A41" s="57"/>
      <c r="B41" s="61" t="str">
        <f>$G$227</f>
        <v>Units:</v>
      </c>
      <c r="C41" s="62">
        <v>1</v>
      </c>
      <c r="D41" s="62" t="s">
        <v>85</v>
      </c>
      <c r="E41" s="93">
        <f>IF(C41&lt;=1,2*C41,2*C41+1)</f>
        <v>2</v>
      </c>
    </row>
    <row r="42" spans="1:5" s="31" customFormat="1" ht="12">
      <c r="A42" s="57"/>
      <c r="B42" s="34" t="str">
        <f>$B$180</f>
        <v>Duration:</v>
      </c>
      <c r="C42" s="38" t="s">
        <v>21</v>
      </c>
      <c r="D42" s="63" t="s">
        <v>77</v>
      </c>
      <c r="E42" s="100">
        <f>LOOKUP(C42,$C$181:$C$183,$D$181:$D$183)</f>
        <v>0</v>
      </c>
    </row>
    <row r="43" spans="1:5" s="31" customFormat="1" ht="12">
      <c r="A43" s="57"/>
      <c r="B43" s="43" t="str">
        <f>$B$197</f>
        <v>Target(s):</v>
      </c>
      <c r="C43" s="47" t="s">
        <v>12</v>
      </c>
      <c r="D43" s="64" t="s">
        <v>80</v>
      </c>
      <c r="E43" s="95">
        <f>LOOKUP(C43,$C$198:$C$199,$D$198:$D$199)</f>
        <v>0</v>
      </c>
    </row>
    <row r="44" spans="1:5" s="31" customFormat="1" ht="12">
      <c r="A44" s="57"/>
      <c r="B44" s="69" t="str">
        <f>$B$186</f>
        <v>To Hit:</v>
      </c>
      <c r="C44" s="42" t="s">
        <v>10</v>
      </c>
      <c r="D44" s="70" t="s">
        <v>78</v>
      </c>
      <c r="E44" s="99" t="s">
        <v>4</v>
      </c>
    </row>
    <row r="45" spans="1:5" s="31" customFormat="1" ht="12">
      <c r="A45" s="57"/>
      <c r="B45" s="66" t="str">
        <f>$G$228</f>
        <v>Total:</v>
      </c>
      <c r="C45" s="59"/>
      <c r="D45" s="60"/>
      <c r="E45" s="92">
        <f>SUM(E41:E43)</f>
        <v>2</v>
      </c>
    </row>
    <row r="46" spans="1:5" s="88" customFormat="1" ht="11.25">
      <c r="A46" s="87"/>
      <c r="C46" s="89"/>
      <c r="D46" s="90"/>
      <c r="E46" s="97"/>
    </row>
    <row r="47" spans="1:5" s="31" customFormat="1" ht="12">
      <c r="A47" s="30" t="str">
        <f>"Increase bonus to hit by an average of +"&amp;1*C48*LOOKUP(C49,$C$175:$C$177,$D$175:$D$177)&amp;" [per unit]"</f>
        <v>Increase bonus to hit by an average of +1 [per unit]</v>
      </c>
      <c r="C47" s="32"/>
      <c r="D47" s="33"/>
      <c r="E47" s="98"/>
    </row>
    <row r="48" spans="1:5" s="31" customFormat="1" ht="12">
      <c r="A48" s="30"/>
      <c r="B48" s="61" t="str">
        <f>$G$227</f>
        <v>Units:</v>
      </c>
      <c r="C48" s="62">
        <v>1</v>
      </c>
      <c r="D48" s="62" t="s">
        <v>85</v>
      </c>
      <c r="E48" s="93">
        <f>IF(C48&lt;=1,2*C48,2*C48+1)</f>
        <v>2</v>
      </c>
    </row>
    <row r="49" spans="1:7" s="31" customFormat="1" ht="12">
      <c r="A49" s="30"/>
      <c r="B49" s="34" t="str">
        <f>$B$174</f>
        <v>Duration:</v>
      </c>
      <c r="C49" s="38" t="s">
        <v>8</v>
      </c>
      <c r="D49" s="63" t="s">
        <v>76</v>
      </c>
      <c r="E49" s="94" t="s">
        <v>4</v>
      </c>
      <c r="F49" s="58"/>
      <c r="G49" s="58"/>
    </row>
    <row r="50" spans="1:5" s="31" customFormat="1" ht="12">
      <c r="A50" s="30"/>
      <c r="B50" s="43" t="str">
        <f>$B$191</f>
        <v>Target(s):</v>
      </c>
      <c r="C50" s="47" t="s">
        <v>11</v>
      </c>
      <c r="D50" s="64" t="s">
        <v>79</v>
      </c>
      <c r="E50" s="95">
        <f>LOOKUP(C50,$C$192:$C$194,$D$192:$D$194)</f>
        <v>0</v>
      </c>
    </row>
    <row r="51" spans="1:5" s="31" customFormat="1" ht="12">
      <c r="A51" s="30"/>
      <c r="B51" s="68" t="str">
        <f>$G$228</f>
        <v>Total:</v>
      </c>
      <c r="C51" s="32"/>
      <c r="D51" s="33"/>
      <c r="E51" s="98">
        <f>SUM(E48:E50)</f>
        <v>2</v>
      </c>
    </row>
    <row r="52" spans="1:5" s="88" customFormat="1" ht="11.25">
      <c r="A52" s="87"/>
      <c r="C52" s="89"/>
      <c r="D52" s="90"/>
      <c r="E52" s="97"/>
    </row>
    <row r="53" spans="1:5" s="31" customFormat="1" ht="12">
      <c r="A53" s="57" t="str">
        <f>"Decrease bonus to hit by an average of "&amp;1*C54*LOOKUP(C57,$C$187:$C$188,$D$187:$D$188)&amp;" [per unit]"</f>
        <v>Decrease bonus to hit by an average of 1 [per unit]</v>
      </c>
      <c r="B53" s="58"/>
      <c r="C53" s="59"/>
      <c r="D53" s="60"/>
      <c r="E53" s="92"/>
    </row>
    <row r="54" spans="1:5" s="31" customFormat="1" ht="12">
      <c r="A54" s="57"/>
      <c r="B54" s="61" t="str">
        <f>$G$227</f>
        <v>Units:</v>
      </c>
      <c r="C54" s="62">
        <v>1</v>
      </c>
      <c r="D54" s="62" t="s">
        <v>85</v>
      </c>
      <c r="E54" s="93">
        <f>IF(C54&lt;=1,2*C54,2*C54+1)</f>
        <v>2</v>
      </c>
    </row>
    <row r="55" spans="1:5" s="31" customFormat="1" ht="12">
      <c r="A55" s="57"/>
      <c r="B55" s="34" t="str">
        <f>$B$180</f>
        <v>Duration:</v>
      </c>
      <c r="C55" s="38" t="s">
        <v>21</v>
      </c>
      <c r="D55" s="63" t="s">
        <v>77</v>
      </c>
      <c r="E55" s="100">
        <f>LOOKUP(C55,$C$181:$C$183,$D$181:$D$183)</f>
        <v>0</v>
      </c>
    </row>
    <row r="56" spans="1:5" s="31" customFormat="1" ht="12">
      <c r="A56" s="57"/>
      <c r="B56" s="43" t="str">
        <f>$B$197</f>
        <v>Target(s):</v>
      </c>
      <c r="C56" s="47" t="s">
        <v>12</v>
      </c>
      <c r="D56" s="64" t="s">
        <v>80</v>
      </c>
      <c r="E56" s="95">
        <f>LOOKUP(C56,$C$198:$C$199,$D$198:$D$199)</f>
        <v>0</v>
      </c>
    </row>
    <row r="57" spans="1:5" s="31" customFormat="1" ht="12">
      <c r="A57" s="57"/>
      <c r="B57" s="69" t="str">
        <f>$B$186</f>
        <v>To Hit:</v>
      </c>
      <c r="C57" s="42" t="s">
        <v>10</v>
      </c>
      <c r="D57" s="70" t="s">
        <v>78</v>
      </c>
      <c r="E57" s="99" t="s">
        <v>4</v>
      </c>
    </row>
    <row r="58" spans="1:5" s="31" customFormat="1" ht="12">
      <c r="A58" s="57"/>
      <c r="B58" s="66" t="str">
        <f>$G$228</f>
        <v>Total:</v>
      </c>
      <c r="C58" s="59"/>
      <c r="D58" s="60"/>
      <c r="E58" s="92">
        <f>SUM(E54:E56)</f>
        <v>2</v>
      </c>
    </row>
    <row r="59" spans="1:5" s="31" customFormat="1" ht="12">
      <c r="A59" s="30"/>
      <c r="C59" s="32"/>
      <c r="D59" s="33"/>
      <c r="E59" s="98"/>
    </row>
    <row r="60" spans="1:5" s="31" customFormat="1" ht="12">
      <c r="A60" s="30" t="str">
        <f>"Increase damage per hit by an average of "&amp;1*C61*LOOKUP(C62,$C$175:$C$177,$D$175:$D$177)&amp;" [per unit]"</f>
        <v>Increase damage per hit by an average of 1 [per unit]</v>
      </c>
      <c r="C60" s="32"/>
      <c r="D60" s="33"/>
      <c r="E60" s="98"/>
    </row>
    <row r="61" spans="1:5" s="31" customFormat="1" ht="12">
      <c r="A61" s="30"/>
      <c r="B61" s="61" t="str">
        <f>$G$227</f>
        <v>Units:</v>
      </c>
      <c r="C61" s="62">
        <v>1</v>
      </c>
      <c r="D61" s="62" t="s">
        <v>85</v>
      </c>
      <c r="E61" s="93">
        <f>IF(C61&lt;=1,2*C61,2*C61+1)</f>
        <v>2</v>
      </c>
    </row>
    <row r="62" spans="1:7" s="31" customFormat="1" ht="12">
      <c r="A62" s="30"/>
      <c r="B62" s="34" t="str">
        <f>$B$174</f>
        <v>Duration:</v>
      </c>
      <c r="C62" s="38" t="s">
        <v>8</v>
      </c>
      <c r="D62" s="63" t="s">
        <v>76</v>
      </c>
      <c r="E62" s="94" t="s">
        <v>4</v>
      </c>
      <c r="F62" s="58"/>
      <c r="G62" s="58"/>
    </row>
    <row r="63" spans="1:5" s="31" customFormat="1" ht="12">
      <c r="A63" s="30"/>
      <c r="B63" s="43" t="str">
        <f>$B$191</f>
        <v>Target(s):</v>
      </c>
      <c r="C63" s="47" t="s">
        <v>11</v>
      </c>
      <c r="D63" s="64" t="s">
        <v>79</v>
      </c>
      <c r="E63" s="95">
        <f>LOOKUP(C63,$C$192:$C$194,$D$192:$D$194)</f>
        <v>0</v>
      </c>
    </row>
    <row r="64" spans="1:5" s="31" customFormat="1" ht="12">
      <c r="A64" s="30"/>
      <c r="B64" s="48" t="str">
        <f>$B$202</f>
        <v>Damage:</v>
      </c>
      <c r="C64" s="52" t="s">
        <v>15</v>
      </c>
      <c r="D64" s="65" t="s">
        <v>82</v>
      </c>
      <c r="E64" s="96">
        <f>LOOKUP(C64,$C$203:$C$206,$D$203:$D$206)</f>
        <v>0</v>
      </c>
    </row>
    <row r="65" spans="1:5" s="31" customFormat="1" ht="12">
      <c r="A65" s="30"/>
      <c r="B65" s="68" t="str">
        <f>$G$228</f>
        <v>Total:</v>
      </c>
      <c r="C65" s="32"/>
      <c r="D65" s="33"/>
      <c r="E65" s="98">
        <f>SUM(E61:E64)</f>
        <v>2</v>
      </c>
    </row>
    <row r="66" spans="1:5" s="31" customFormat="1" ht="12">
      <c r="A66" s="30"/>
      <c r="C66" s="32"/>
      <c r="D66" s="33"/>
      <c r="E66" s="98"/>
    </row>
    <row r="67" spans="1:5" s="31" customFormat="1" ht="12">
      <c r="A67" s="57" t="str">
        <f>"Decrease damage per hit by an average of "&amp;1*C68*LOOKUP(C71,$C$187:$C$188,$D$187:$D$188)&amp;" [per unit]"</f>
        <v>Decrease damage per hit by an average of 1 [per unit]</v>
      </c>
      <c r="B67" s="58"/>
      <c r="C67" s="59"/>
      <c r="D67" s="60"/>
      <c r="E67" s="92"/>
    </row>
    <row r="68" spans="1:5" s="31" customFormat="1" ht="12">
      <c r="A68" s="57"/>
      <c r="B68" s="61" t="str">
        <f>$G$227</f>
        <v>Units:</v>
      </c>
      <c r="C68" s="62">
        <v>1</v>
      </c>
      <c r="D68" s="62" t="s">
        <v>85</v>
      </c>
      <c r="E68" s="93">
        <f>IF(C68&lt;=1,2*C68,2*C68+1)</f>
        <v>2</v>
      </c>
    </row>
    <row r="69" spans="1:5" s="31" customFormat="1" ht="12">
      <c r="A69" s="57"/>
      <c r="B69" s="34" t="str">
        <f>$B$180</f>
        <v>Duration:</v>
      </c>
      <c r="C69" s="38" t="s">
        <v>21</v>
      </c>
      <c r="D69" s="63" t="s">
        <v>77</v>
      </c>
      <c r="E69" s="100">
        <f>LOOKUP(C69,$C$181:$C$183,$D$181:$D$183)</f>
        <v>0</v>
      </c>
    </row>
    <row r="70" spans="1:5" s="31" customFormat="1" ht="12">
      <c r="A70" s="57"/>
      <c r="B70" s="43" t="str">
        <f>$B$197</f>
        <v>Target(s):</v>
      </c>
      <c r="C70" s="47" t="s">
        <v>12</v>
      </c>
      <c r="D70" s="64" t="s">
        <v>80</v>
      </c>
      <c r="E70" s="95">
        <f>LOOKUP(C70,$C$198:$C$199,$D$198:$D$199)</f>
        <v>0</v>
      </c>
    </row>
    <row r="71" spans="1:5" s="31" customFormat="1" ht="12">
      <c r="A71" s="57"/>
      <c r="B71" s="69" t="str">
        <f>$B$186</f>
        <v>To Hit:</v>
      </c>
      <c r="C71" s="42" t="s">
        <v>10</v>
      </c>
      <c r="D71" s="70" t="s">
        <v>78</v>
      </c>
      <c r="E71" s="99" t="s">
        <v>4</v>
      </c>
    </row>
    <row r="72" spans="1:5" s="31" customFormat="1" ht="12">
      <c r="A72" s="57"/>
      <c r="B72" s="66" t="str">
        <f>$G$228</f>
        <v>Total:</v>
      </c>
      <c r="C72" s="59"/>
      <c r="D72" s="60"/>
      <c r="E72" s="92">
        <f>SUM(E68:E70)</f>
        <v>2</v>
      </c>
    </row>
    <row r="73" spans="1:5" s="31" customFormat="1" ht="12">
      <c r="A73" s="30"/>
      <c r="C73" s="32"/>
      <c r="D73" s="33"/>
      <c r="E73" s="98"/>
    </row>
    <row r="74" spans="1:5" s="31" customFormat="1" ht="12">
      <c r="A74" s="30" t="str">
        <f>"Increase non-combat skill check roll by an average of "&amp;5*C76*LOOKUP(C77,$C$175:$C$177,$D$175:$D$177)&amp;"%"&amp;" [per unit]"</f>
        <v>Increase non-combat skill check roll by an average of 5% [per unit]</v>
      </c>
      <c r="C74" s="32"/>
      <c r="D74" s="33"/>
      <c r="E74" s="98"/>
    </row>
    <row r="75" spans="1:5" s="31" customFormat="1" ht="12">
      <c r="A75" s="30"/>
      <c r="B75" s="71" t="s">
        <v>18</v>
      </c>
      <c r="C75" s="32"/>
      <c r="D75" s="33"/>
      <c r="E75" s="98"/>
    </row>
    <row r="76" spans="1:5" s="31" customFormat="1" ht="12">
      <c r="A76" s="30"/>
      <c r="B76" s="61" t="str">
        <f>$G$227</f>
        <v>Units:</v>
      </c>
      <c r="C76" s="62">
        <v>1</v>
      </c>
      <c r="D76" s="62" t="s">
        <v>85</v>
      </c>
      <c r="E76" s="93">
        <f>IF(C76&lt;=1,2*C76,2*C76+1)</f>
        <v>2</v>
      </c>
    </row>
    <row r="77" spans="1:7" s="31" customFormat="1" ht="12">
      <c r="A77" s="30"/>
      <c r="B77" s="34" t="str">
        <f>$B$174</f>
        <v>Duration:</v>
      </c>
      <c r="C77" s="38" t="s">
        <v>8</v>
      </c>
      <c r="D77" s="63" t="s">
        <v>76</v>
      </c>
      <c r="E77" s="94" t="s">
        <v>4</v>
      </c>
      <c r="F77" s="58"/>
      <c r="G77" s="58"/>
    </row>
    <row r="78" spans="1:5" s="31" customFormat="1" ht="12">
      <c r="A78" s="30"/>
      <c r="B78" s="43" t="str">
        <f>$B$191</f>
        <v>Target(s):</v>
      </c>
      <c r="C78" s="47" t="s">
        <v>11</v>
      </c>
      <c r="D78" s="64" t="s">
        <v>79</v>
      </c>
      <c r="E78" s="95">
        <f>LOOKUP(C78,$C$192:$C$194,$D$192:$D$194)</f>
        <v>0</v>
      </c>
    </row>
    <row r="79" spans="1:5" s="31" customFormat="1" ht="12">
      <c r="A79" s="30"/>
      <c r="B79" s="68" t="str">
        <f>$G$228</f>
        <v>Total:</v>
      </c>
      <c r="C79" s="32"/>
      <c r="D79" s="33"/>
      <c r="E79" s="98">
        <f>SUM(E76:E78)</f>
        <v>2</v>
      </c>
    </row>
    <row r="80" spans="1:5" s="31" customFormat="1" ht="12">
      <c r="A80" s="30"/>
      <c r="C80" s="32"/>
      <c r="D80" s="33"/>
      <c r="E80" s="98"/>
    </row>
    <row r="81" spans="1:5" s="31" customFormat="1" ht="12">
      <c r="A81" s="57" t="str">
        <f>"Decrease non-combat skill check roll by an average of "&amp;5*C82*LOOKUP(C85,$C$187:$C$188,$D$187:$D$188)&amp;"%"&amp;" [per unit]"</f>
        <v>Decrease non-combat skill check roll by an average of 5% [per unit]</v>
      </c>
      <c r="B81" s="58"/>
      <c r="C81" s="59"/>
      <c r="D81" s="60"/>
      <c r="E81" s="92"/>
    </row>
    <row r="82" spans="1:5" s="31" customFormat="1" ht="12">
      <c r="A82" s="57"/>
      <c r="B82" s="61" t="str">
        <f>$G$227</f>
        <v>Units:</v>
      </c>
      <c r="C82" s="62">
        <v>1</v>
      </c>
      <c r="D82" s="62" t="s">
        <v>85</v>
      </c>
      <c r="E82" s="93">
        <f>IF(C82&lt;=1,2*C82,2*C82+1)</f>
        <v>2</v>
      </c>
    </row>
    <row r="83" spans="1:5" s="31" customFormat="1" ht="12">
      <c r="A83" s="57"/>
      <c r="B83" s="34" t="str">
        <f>$B$180</f>
        <v>Duration:</v>
      </c>
      <c r="C83" s="38" t="s">
        <v>21</v>
      </c>
      <c r="D83" s="63" t="s">
        <v>77</v>
      </c>
      <c r="E83" s="100">
        <f>LOOKUP(C83,$C$181:$C$183,$D$181:$D$183)</f>
        <v>0</v>
      </c>
    </row>
    <row r="84" spans="1:5" s="31" customFormat="1" ht="12">
      <c r="A84" s="57"/>
      <c r="B84" s="43" t="str">
        <f>$B$197</f>
        <v>Target(s):</v>
      </c>
      <c r="C84" s="47" t="s">
        <v>12</v>
      </c>
      <c r="D84" s="64" t="s">
        <v>80</v>
      </c>
      <c r="E84" s="95">
        <f>LOOKUP(C84,$C$198:$C$199,$D$198:$D$199)</f>
        <v>0</v>
      </c>
    </row>
    <row r="85" spans="1:5" s="31" customFormat="1" ht="12">
      <c r="A85" s="57"/>
      <c r="B85" s="69" t="str">
        <f>$B$186</f>
        <v>To Hit:</v>
      </c>
      <c r="C85" s="42" t="s">
        <v>10</v>
      </c>
      <c r="D85" s="70" t="s">
        <v>78</v>
      </c>
      <c r="E85" s="99" t="s">
        <v>4</v>
      </c>
    </row>
    <row r="86" spans="1:5" s="31" customFormat="1" ht="12">
      <c r="A86" s="57"/>
      <c r="B86" s="66" t="str">
        <f>$G$228</f>
        <v>Total:</v>
      </c>
      <c r="C86" s="59"/>
      <c r="D86" s="60"/>
      <c r="E86" s="92">
        <f>SUM(E82:E84)</f>
        <v>2</v>
      </c>
    </row>
    <row r="87" spans="1:5" s="31" customFormat="1" ht="12">
      <c r="A87" s="30"/>
      <c r="C87" s="32"/>
      <c r="D87" s="33"/>
      <c r="E87" s="98"/>
    </row>
    <row r="88" spans="1:5" s="31" customFormat="1" ht="12">
      <c r="A88" s="30" t="str">
        <f>"Increase current / maximum movement speed by an average of "&amp;3*C89*LOOKUP(C90,$C$175:$C$177,$D$175:$D$177)&amp;"''"&amp;" [per unit]"</f>
        <v>Increase current / maximum movement speed by an average of 3'' [per unit]</v>
      </c>
      <c r="C88" s="32"/>
      <c r="D88" s="33"/>
      <c r="E88" s="98"/>
    </row>
    <row r="89" spans="1:5" s="31" customFormat="1" ht="12">
      <c r="A89" s="30"/>
      <c r="B89" s="61" t="str">
        <f>$G$227</f>
        <v>Units:</v>
      </c>
      <c r="C89" s="62">
        <v>1</v>
      </c>
      <c r="D89" s="62" t="s">
        <v>85</v>
      </c>
      <c r="E89" s="93">
        <f>IF(C89&lt;=1,2*C89,2*C89+1)</f>
        <v>2</v>
      </c>
    </row>
    <row r="90" spans="1:7" s="31" customFormat="1" ht="12">
      <c r="A90" s="30"/>
      <c r="B90" s="34" t="str">
        <f>$B$174</f>
        <v>Duration:</v>
      </c>
      <c r="C90" s="38" t="s">
        <v>8</v>
      </c>
      <c r="D90" s="63" t="s">
        <v>76</v>
      </c>
      <c r="E90" s="94" t="s">
        <v>4</v>
      </c>
      <c r="F90" s="58"/>
      <c r="G90" s="58"/>
    </row>
    <row r="91" spans="1:5" s="31" customFormat="1" ht="12">
      <c r="A91" s="30"/>
      <c r="B91" s="43" t="str">
        <f>$B$191</f>
        <v>Target(s):</v>
      </c>
      <c r="C91" s="47" t="s">
        <v>11</v>
      </c>
      <c r="D91" s="64" t="s">
        <v>79</v>
      </c>
      <c r="E91" s="95">
        <f>LOOKUP(C91,$C$192:$C$194,$D$192:$D$194)</f>
        <v>0</v>
      </c>
    </row>
    <row r="92" spans="1:5" s="31" customFormat="1" ht="12">
      <c r="A92" s="30"/>
      <c r="B92" s="68" t="str">
        <f>$G$228</f>
        <v>Total:</v>
      </c>
      <c r="C92" s="32"/>
      <c r="D92" s="33"/>
      <c r="E92" s="98">
        <f>SUM(E89:E91)</f>
        <v>2</v>
      </c>
    </row>
    <row r="93" spans="1:5" s="31" customFormat="1" ht="12">
      <c r="A93" s="30"/>
      <c r="C93" s="32"/>
      <c r="D93" s="33"/>
      <c r="E93" s="98"/>
    </row>
    <row r="94" spans="1:5" s="31" customFormat="1" ht="12">
      <c r="A94" s="57" t="str">
        <f>"Decrease current / maximum movement speed by an average of "&amp;3*C95*LOOKUP(C98,$C$187:$C$188,$D$187:$D$188)&amp;"''"&amp;" [per unit]"</f>
        <v>Decrease current / maximum movement speed by an average of 3'' [per unit]</v>
      </c>
      <c r="B94" s="58"/>
      <c r="C94" s="59"/>
      <c r="D94" s="60"/>
      <c r="E94" s="92"/>
    </row>
    <row r="95" spans="1:5" s="31" customFormat="1" ht="12">
      <c r="A95" s="57"/>
      <c r="B95" s="61" t="str">
        <f>$G$227</f>
        <v>Units:</v>
      </c>
      <c r="C95" s="62">
        <v>1</v>
      </c>
      <c r="D95" s="62" t="s">
        <v>85</v>
      </c>
      <c r="E95" s="93">
        <f>IF(C95&lt;=1,2*C95,2*C95+1)</f>
        <v>2</v>
      </c>
    </row>
    <row r="96" spans="1:5" s="31" customFormat="1" ht="12">
      <c r="A96" s="57"/>
      <c r="B96" s="34" t="str">
        <f>$B$180</f>
        <v>Duration:</v>
      </c>
      <c r="C96" s="38" t="s">
        <v>21</v>
      </c>
      <c r="D96" s="63" t="s">
        <v>77</v>
      </c>
      <c r="E96" s="100">
        <f>LOOKUP(C96,$C$181:$C$183,$D$181:$D$183)</f>
        <v>0</v>
      </c>
    </row>
    <row r="97" spans="1:5" s="31" customFormat="1" ht="12">
      <c r="A97" s="57"/>
      <c r="B97" s="43" t="str">
        <f>$B$197</f>
        <v>Target(s):</v>
      </c>
      <c r="C97" s="47" t="s">
        <v>12</v>
      </c>
      <c r="D97" s="64" t="s">
        <v>80</v>
      </c>
      <c r="E97" s="95">
        <f>LOOKUP(C97,$C$198:$C$199,$D$198:$D$199)</f>
        <v>0</v>
      </c>
    </row>
    <row r="98" spans="1:5" s="31" customFormat="1" ht="12">
      <c r="A98" s="57"/>
      <c r="B98" s="69" t="str">
        <f>$B$186</f>
        <v>To Hit:</v>
      </c>
      <c r="C98" s="42" t="s">
        <v>10</v>
      </c>
      <c r="D98" s="70" t="s">
        <v>78</v>
      </c>
      <c r="E98" s="99" t="s">
        <v>4</v>
      </c>
    </row>
    <row r="99" spans="1:5" s="31" customFormat="1" ht="12">
      <c r="A99" s="57"/>
      <c r="B99" s="66" t="str">
        <f>$G$228</f>
        <v>Total:</v>
      </c>
      <c r="C99" s="59"/>
      <c r="D99" s="60"/>
      <c r="E99" s="92">
        <f>SUM(E95:E97)</f>
        <v>2</v>
      </c>
    </row>
    <row r="100" spans="1:5" s="31" customFormat="1" ht="12">
      <c r="A100" s="30"/>
      <c r="C100" s="32"/>
      <c r="D100" s="33"/>
      <c r="E100" s="98"/>
    </row>
    <row r="101" spans="1:5" s="31" customFormat="1" ht="12">
      <c r="A101" s="57" t="str">
        <f>"Increase resistance check roll by an average of "&amp;5*C102*LOOKUP(C103,$C$175:$C$177,$D$175:$D$177)&amp;"%"&amp;" [per unit]"</f>
        <v>Increase resistance check roll by an average of 5% [per unit]</v>
      </c>
      <c r="B101" s="58"/>
      <c r="C101" s="59"/>
      <c r="D101" s="60"/>
      <c r="E101" s="92"/>
    </row>
    <row r="102" spans="1:5" s="31" customFormat="1" ht="12">
      <c r="A102" s="57"/>
      <c r="B102" s="61" t="str">
        <f>$G$227</f>
        <v>Units:</v>
      </c>
      <c r="C102" s="62">
        <v>1</v>
      </c>
      <c r="D102" s="62" t="s">
        <v>85</v>
      </c>
      <c r="E102" s="93">
        <f>IF(C102&lt;=1,2*C102,2*C102+1)</f>
        <v>2</v>
      </c>
    </row>
    <row r="103" spans="1:7" s="31" customFormat="1" ht="12">
      <c r="A103" s="57"/>
      <c r="B103" s="34" t="str">
        <f>$B$174</f>
        <v>Duration:</v>
      </c>
      <c r="C103" s="38" t="s">
        <v>8</v>
      </c>
      <c r="D103" s="63" t="s">
        <v>76</v>
      </c>
      <c r="E103" s="94" t="s">
        <v>4</v>
      </c>
      <c r="F103" s="58"/>
      <c r="G103" s="58"/>
    </row>
    <row r="104" spans="1:5" s="31" customFormat="1" ht="12">
      <c r="A104" s="57"/>
      <c r="B104" s="43" t="str">
        <f>$B$191</f>
        <v>Target(s):</v>
      </c>
      <c r="C104" s="47" t="s">
        <v>11</v>
      </c>
      <c r="D104" s="64" t="s">
        <v>79</v>
      </c>
      <c r="E104" s="95">
        <f>LOOKUP(C104,$C$192:$C$194,$D$192:$D$194)</f>
        <v>0</v>
      </c>
    </row>
    <row r="105" spans="1:5" s="31" customFormat="1" ht="12">
      <c r="A105" s="57"/>
      <c r="B105" s="66" t="str">
        <f>$G$228</f>
        <v>Total:</v>
      </c>
      <c r="C105" s="59"/>
      <c r="D105" s="60"/>
      <c r="E105" s="92">
        <f>SUM(E102:E104)</f>
        <v>2</v>
      </c>
    </row>
    <row r="106" spans="1:5" s="31" customFormat="1" ht="12">
      <c r="A106" s="57"/>
      <c r="B106" s="58"/>
      <c r="C106" s="59"/>
      <c r="D106" s="60"/>
      <c r="E106" s="92"/>
    </row>
    <row r="107" spans="1:5" s="31" customFormat="1" ht="12">
      <c r="A107" s="57" t="str">
        <f>"Decrease resistance check roll by an average of "&amp;5*C108*LOOKUP(C111,$C$187:$C$188,$D$187:$D$188)&amp;"%"&amp;" [per unit]"</f>
        <v>Decrease resistance check roll by an average of 5% [per unit]</v>
      </c>
      <c r="B107" s="58"/>
      <c r="C107" s="59"/>
      <c r="D107" s="60"/>
      <c r="E107" s="92"/>
    </row>
    <row r="108" spans="1:5" s="31" customFormat="1" ht="12">
      <c r="A108" s="57"/>
      <c r="B108" s="61" t="str">
        <f>$G$227</f>
        <v>Units:</v>
      </c>
      <c r="C108" s="62">
        <v>1</v>
      </c>
      <c r="D108" s="62" t="s">
        <v>85</v>
      </c>
      <c r="E108" s="93">
        <f>IF(C108&lt;=1,2*C108,2*C108+1)</f>
        <v>2</v>
      </c>
    </row>
    <row r="109" spans="1:5" s="31" customFormat="1" ht="12">
      <c r="A109" s="57"/>
      <c r="B109" s="34" t="str">
        <f>$B$180</f>
        <v>Duration:</v>
      </c>
      <c r="C109" s="38" t="s">
        <v>21</v>
      </c>
      <c r="D109" s="63" t="s">
        <v>77</v>
      </c>
      <c r="E109" s="100">
        <f>LOOKUP(C109,$C$181:$C$183,$D$181:$D$183)</f>
        <v>0</v>
      </c>
    </row>
    <row r="110" spans="1:5" s="31" customFormat="1" ht="12">
      <c r="A110" s="57"/>
      <c r="B110" s="43" t="str">
        <f>$B$197</f>
        <v>Target(s):</v>
      </c>
      <c r="C110" s="47" t="s">
        <v>12</v>
      </c>
      <c r="D110" s="64" t="s">
        <v>80</v>
      </c>
      <c r="E110" s="95">
        <f>LOOKUP(C110,$C$198:$C$199,$D$198:$D$199)</f>
        <v>0</v>
      </c>
    </row>
    <row r="111" spans="1:5" s="31" customFormat="1" ht="12">
      <c r="A111" s="57"/>
      <c r="B111" s="69" t="str">
        <f>$B$186</f>
        <v>To Hit:</v>
      </c>
      <c r="C111" s="42" t="s">
        <v>10</v>
      </c>
      <c r="D111" s="70" t="s">
        <v>78</v>
      </c>
      <c r="E111" s="99" t="s">
        <v>4</v>
      </c>
    </row>
    <row r="112" spans="1:5" s="31" customFormat="1" ht="12">
      <c r="A112" s="57"/>
      <c r="B112" s="66" t="str">
        <f>$G$228</f>
        <v>Total:</v>
      </c>
      <c r="C112" s="59"/>
      <c r="D112" s="60"/>
      <c r="E112" s="92">
        <f>SUM(E108:E110)</f>
        <v>2</v>
      </c>
    </row>
    <row r="113" spans="1:5" s="31" customFormat="1" ht="12">
      <c r="A113" s="57"/>
      <c r="B113" s="66"/>
      <c r="C113" s="59"/>
      <c r="D113" s="60"/>
      <c r="E113" s="92"/>
    </row>
    <row r="114" spans="1:5" s="31" customFormat="1" ht="12">
      <c r="A114" s="57" t="s">
        <v>87</v>
      </c>
      <c r="B114" s="58"/>
      <c r="C114" s="59"/>
      <c r="D114" s="60"/>
      <c r="E114" s="92"/>
    </row>
    <row r="115" spans="1:6" s="31" customFormat="1" ht="12">
      <c r="A115" s="57" t="str">
        <f>"at normal move speed for an average of "&amp;1*C117&amp;(IF(C117=1," round"," consecutive rounds"))&amp;" [per unit]"</f>
        <v>at normal move speed for an average of 1 round [per unit]</v>
      </c>
      <c r="B115" s="58"/>
      <c r="C115" s="59"/>
      <c r="D115" s="60"/>
      <c r="E115" s="92"/>
      <c r="F115" s="58"/>
    </row>
    <row r="116" spans="1:6" s="31" customFormat="1" ht="12">
      <c r="A116" s="57"/>
      <c r="B116" s="72" t="s">
        <v>20</v>
      </c>
      <c r="C116" s="59"/>
      <c r="D116" s="60"/>
      <c r="E116" s="92"/>
      <c r="F116" s="58"/>
    </row>
    <row r="117" spans="1:6" s="31" customFormat="1" ht="12">
      <c r="A117" s="57"/>
      <c r="B117" s="61" t="str">
        <f>$G$227</f>
        <v>Units:</v>
      </c>
      <c r="C117" s="62">
        <v>1</v>
      </c>
      <c r="D117" s="62" t="s">
        <v>85</v>
      </c>
      <c r="E117" s="93">
        <f>IF(C117&lt;=1,2*C117,2*C117+1)</f>
        <v>2</v>
      </c>
      <c r="F117" s="58"/>
    </row>
    <row r="118" spans="1:6" s="31" customFormat="1" ht="12">
      <c r="A118" s="57"/>
      <c r="B118" s="43" t="str">
        <f>$B$191</f>
        <v>Target(s):</v>
      </c>
      <c r="C118" s="47" t="s">
        <v>11</v>
      </c>
      <c r="D118" s="64" t="s">
        <v>79</v>
      </c>
      <c r="E118" s="95">
        <f>LOOKUP(C118,$C$192:$C$194,$D$192:$D$194)</f>
        <v>0</v>
      </c>
      <c r="F118" s="58"/>
    </row>
    <row r="119" spans="1:6" s="31" customFormat="1" ht="12">
      <c r="A119" s="57"/>
      <c r="B119" s="66" t="str">
        <f>$G$228</f>
        <v>Total:</v>
      </c>
      <c r="C119" s="59"/>
      <c r="D119" s="60"/>
      <c r="E119" s="92">
        <f>SUM(E117:E118)</f>
        <v>2</v>
      </c>
      <c r="F119" s="58"/>
    </row>
    <row r="120" spans="1:5" s="31" customFormat="1" ht="12">
      <c r="A120" s="30"/>
      <c r="C120" s="32"/>
      <c r="D120" s="33"/>
      <c r="E120" s="98"/>
    </row>
    <row r="121" spans="1:5" s="31" customFormat="1" ht="12">
      <c r="A121" s="57" t="s">
        <v>88</v>
      </c>
      <c r="B121" s="58"/>
      <c r="C121" s="59"/>
      <c r="D121" s="60"/>
      <c r="E121" s="92"/>
    </row>
    <row r="122" spans="1:6" s="31" customFormat="1" ht="12">
      <c r="A122" s="57" t="str">
        <f>"at normal accuity by an average of "&amp;1*C124&amp;(IF(C124=1," target"," targets"))&amp;" [per unit]"</f>
        <v>at normal accuity by an average of 1 target [per unit]</v>
      </c>
      <c r="B122" s="58"/>
      <c r="C122" s="59"/>
      <c r="D122" s="60"/>
      <c r="E122" s="92"/>
      <c r="F122" s="58"/>
    </row>
    <row r="123" spans="1:5" s="31" customFormat="1" ht="12">
      <c r="A123" s="57"/>
      <c r="B123" s="72" t="s">
        <v>22</v>
      </c>
      <c r="C123" s="59"/>
      <c r="D123" s="60"/>
      <c r="E123" s="92"/>
    </row>
    <row r="124" spans="1:5" s="31" customFormat="1" ht="12">
      <c r="A124" s="57"/>
      <c r="B124" s="61" t="str">
        <f>$G$227</f>
        <v>Units:</v>
      </c>
      <c r="C124" s="62">
        <v>1</v>
      </c>
      <c r="D124" s="62" t="s">
        <v>85</v>
      </c>
      <c r="E124" s="93">
        <f>IF(C124&lt;=1,2*C124,2*C124+1)</f>
        <v>2</v>
      </c>
    </row>
    <row r="125" spans="1:5" s="31" customFormat="1" ht="12">
      <c r="A125" s="57"/>
      <c r="B125" s="34" t="str">
        <f>$B$180</f>
        <v>Duration:</v>
      </c>
      <c r="C125" s="38" t="s">
        <v>21</v>
      </c>
      <c r="D125" s="63" t="s">
        <v>77</v>
      </c>
      <c r="E125" s="100">
        <f>LOOKUP(C125,$C$181:$C$183,$D$181:$D$183)</f>
        <v>0</v>
      </c>
    </row>
    <row r="126" spans="1:5" s="31" customFormat="1" ht="12">
      <c r="A126" s="57"/>
      <c r="B126" s="66" t="str">
        <f>$G$228</f>
        <v>Total:</v>
      </c>
      <c r="C126" s="59"/>
      <c r="D126" s="60"/>
      <c r="E126" s="92">
        <f>SUM(E124:E125)</f>
        <v>2</v>
      </c>
    </row>
    <row r="127" spans="1:5" s="31" customFormat="1" ht="12">
      <c r="A127" s="30"/>
      <c r="C127" s="32"/>
      <c r="D127" s="33"/>
      <c r="E127" s="98"/>
    </row>
    <row r="128" spans="1:5" s="31" customFormat="1" ht="12">
      <c r="A128" s="57" t="s">
        <v>49</v>
      </c>
      <c r="B128" s="58"/>
      <c r="C128" s="59"/>
      <c r="D128" s="60"/>
      <c r="E128" s="92"/>
    </row>
    <row r="129" spans="1:6" s="31" customFormat="1" ht="12">
      <c r="A129" s="57" t="str">
        <f>"at normal linguistic proficiency by an average of "&amp;1*C131&amp;(IF(C131=1," target"," targets"))&amp;" [per unit]"</f>
        <v>at normal linguistic proficiency by an average of 1 target [per unit]</v>
      </c>
      <c r="B129" s="58"/>
      <c r="C129" s="59"/>
      <c r="D129" s="60"/>
      <c r="E129" s="92"/>
      <c r="F129" s="58"/>
    </row>
    <row r="130" spans="1:5" s="31" customFormat="1" ht="12">
      <c r="A130" s="57"/>
      <c r="B130" s="72" t="s">
        <v>25</v>
      </c>
      <c r="C130" s="59"/>
      <c r="D130" s="60"/>
      <c r="E130" s="92"/>
    </row>
    <row r="131" spans="1:5" s="31" customFormat="1" ht="12">
      <c r="A131" s="57"/>
      <c r="B131" s="61" t="str">
        <f>$G$227</f>
        <v>Units:</v>
      </c>
      <c r="C131" s="62">
        <v>1</v>
      </c>
      <c r="D131" s="62" t="s">
        <v>85</v>
      </c>
      <c r="E131" s="93">
        <f>IF(C131&lt;=1,2*C131,2*C131+1)</f>
        <v>2</v>
      </c>
    </row>
    <row r="132" spans="1:5" s="31" customFormat="1" ht="12">
      <c r="A132" s="57"/>
      <c r="B132" s="34" t="str">
        <f>$B$180</f>
        <v>Duration:</v>
      </c>
      <c r="C132" s="38" t="s">
        <v>21</v>
      </c>
      <c r="D132" s="63" t="s">
        <v>77</v>
      </c>
      <c r="E132" s="100">
        <f>LOOKUP(C132,$C$181:$C$183,$D$181:$D$183)</f>
        <v>0</v>
      </c>
    </row>
    <row r="133" spans="1:5" s="31" customFormat="1" ht="12">
      <c r="A133" s="57"/>
      <c r="B133" s="73" t="str">
        <f>$B$217</f>
        <v>Creature:</v>
      </c>
      <c r="C133" s="56" t="s">
        <v>32</v>
      </c>
      <c r="D133" s="74" t="s">
        <v>83</v>
      </c>
      <c r="E133" s="101">
        <f>LOOKUP(C133,$C$218:$C$221,$D$218:$D$221)</f>
        <v>0</v>
      </c>
    </row>
    <row r="134" spans="1:5" s="31" customFormat="1" ht="12">
      <c r="A134" s="57"/>
      <c r="B134" s="66" t="str">
        <f>$G$228</f>
        <v>Total:</v>
      </c>
      <c r="C134" s="59"/>
      <c r="D134" s="60"/>
      <c r="E134" s="92">
        <f>SUM(E131:E133)</f>
        <v>2</v>
      </c>
    </row>
    <row r="135" spans="1:5" s="31" customFormat="1" ht="12">
      <c r="A135" s="30"/>
      <c r="C135" s="32"/>
      <c r="D135" s="33"/>
      <c r="E135" s="98"/>
    </row>
    <row r="136" spans="1:6" s="31" customFormat="1" ht="12">
      <c r="A136" s="57" t="str">
        <f>"Allow breathing in any envmt by an average of "&amp;1*C137&amp;(IF(C137=1," target"," targets"))&amp;" [per unit]"</f>
        <v>Allow breathing in any envmt by an average of 1 target [per unit]</v>
      </c>
      <c r="B136" s="58"/>
      <c r="C136" s="59"/>
      <c r="D136" s="60"/>
      <c r="E136" s="92"/>
      <c r="F136" s="58"/>
    </row>
    <row r="137" spans="1:5" s="31" customFormat="1" ht="12">
      <c r="A137" s="57"/>
      <c r="B137" s="61" t="str">
        <f>$G$227</f>
        <v>Units:</v>
      </c>
      <c r="C137" s="62">
        <v>1</v>
      </c>
      <c r="D137" s="62" t="s">
        <v>85</v>
      </c>
      <c r="E137" s="93">
        <f>IF(C137&lt;=1,2*C137,2*C137+1)</f>
        <v>2</v>
      </c>
    </row>
    <row r="138" spans="1:5" s="31" customFormat="1" ht="12">
      <c r="A138" s="57"/>
      <c r="B138" s="34" t="str">
        <f>$B$180</f>
        <v>Duration:</v>
      </c>
      <c r="C138" s="38" t="s">
        <v>21</v>
      </c>
      <c r="D138" s="63" t="s">
        <v>77</v>
      </c>
      <c r="E138" s="100">
        <f>LOOKUP(C138,$C$181:$C$183,$D$181:$D$183)</f>
        <v>0</v>
      </c>
    </row>
    <row r="139" spans="1:5" s="31" customFormat="1" ht="12">
      <c r="A139" s="57"/>
      <c r="B139" s="66" t="str">
        <f>$G$228</f>
        <v>Total:</v>
      </c>
      <c r="C139" s="59"/>
      <c r="D139" s="60"/>
      <c r="E139" s="92">
        <f>SUM(E137:E138)</f>
        <v>2</v>
      </c>
    </row>
    <row r="140" spans="1:5" s="31" customFormat="1" ht="12">
      <c r="A140" s="30"/>
      <c r="C140" s="32"/>
      <c r="D140" s="33"/>
      <c r="E140" s="98"/>
    </row>
    <row r="141" spans="1:6" s="31" customFormat="1" ht="12">
      <c r="A141" s="57" t="str">
        <f>"Improve a resistance by 1 category for an average of "&amp;1*C143&amp;(IF(C143=1," round"," consecutive rounds"))&amp;" [per unit]"</f>
        <v>Improve a resistance by 1 category for an average of 1 round [per unit]</v>
      </c>
      <c r="B141" s="58"/>
      <c r="C141" s="59"/>
      <c r="D141" s="60"/>
      <c r="E141" s="92"/>
      <c r="F141" s="58"/>
    </row>
    <row r="142" spans="1:5" s="31" customFormat="1" ht="12">
      <c r="A142" s="57"/>
      <c r="B142" s="72" t="s">
        <v>46</v>
      </c>
      <c r="C142" s="59"/>
      <c r="D142" s="60"/>
      <c r="E142" s="92"/>
    </row>
    <row r="143" spans="1:5" s="31" customFormat="1" ht="12">
      <c r="A143" s="57"/>
      <c r="B143" s="61" t="str">
        <f>$G$227</f>
        <v>Units:</v>
      </c>
      <c r="C143" s="62">
        <v>1</v>
      </c>
      <c r="D143" s="62" t="s">
        <v>85</v>
      </c>
      <c r="E143" s="93">
        <f>IF(C143&lt;=1,2*C143,2*C143+1)</f>
        <v>2</v>
      </c>
    </row>
    <row r="144" spans="1:5" s="31" customFormat="1" ht="12">
      <c r="A144" s="57"/>
      <c r="B144" s="43" t="str">
        <f>$B$191</f>
        <v>Target(s):</v>
      </c>
      <c r="C144" s="47" t="s">
        <v>11</v>
      </c>
      <c r="D144" s="64" t="s">
        <v>79</v>
      </c>
      <c r="E144" s="95">
        <f>LOOKUP(C144,$C$192:$C$194,$D$192:$D$194)</f>
        <v>0</v>
      </c>
    </row>
    <row r="145" spans="1:5" s="31" customFormat="1" ht="12">
      <c r="A145" s="57"/>
      <c r="B145" s="66" t="str">
        <f>$G$228</f>
        <v>Total:</v>
      </c>
      <c r="C145" s="59"/>
      <c r="D145" s="60"/>
      <c r="E145" s="92">
        <f>SUM(E143:E144)</f>
        <v>2</v>
      </c>
    </row>
    <row r="146" spans="1:5" s="31" customFormat="1" ht="12">
      <c r="A146" s="30"/>
      <c r="C146" s="32"/>
      <c r="D146" s="33"/>
      <c r="E146" s="98"/>
    </row>
    <row r="147" spans="1:6" s="31" customFormat="1" ht="12">
      <c r="A147" s="57" t="str">
        <f>"Alter physical appearance of an average of "&amp;1*C157&amp;(IF(C157=1," target"," targets"))&amp;" [per unit]"</f>
        <v>Alter physical appearance of an average of 1 target [per unit]</v>
      </c>
      <c r="B147" s="58"/>
      <c r="C147" s="59"/>
      <c r="D147" s="60"/>
      <c r="E147" s="92"/>
      <c r="F147" s="58"/>
    </row>
    <row r="148" spans="1:5" s="31" customFormat="1" ht="12">
      <c r="A148" s="57"/>
      <c r="B148" s="72" t="s">
        <v>27</v>
      </c>
      <c r="C148" s="59"/>
      <c r="D148" s="60"/>
      <c r="E148" s="92"/>
    </row>
    <row r="149" spans="1:5" s="31" customFormat="1" ht="12">
      <c r="A149" s="57"/>
      <c r="B149" s="72" t="s">
        <v>67</v>
      </c>
      <c r="C149" s="59"/>
      <c r="D149" s="60"/>
      <c r="E149" s="92"/>
    </row>
    <row r="150" spans="1:5" s="31" customFormat="1" ht="12">
      <c r="A150" s="57"/>
      <c r="B150" s="72" t="s">
        <v>66</v>
      </c>
      <c r="C150" s="59"/>
      <c r="D150" s="60"/>
      <c r="E150" s="92"/>
    </row>
    <row r="151" spans="1:5" s="31" customFormat="1" ht="12">
      <c r="A151" s="57"/>
      <c r="B151" s="72" t="s">
        <v>69</v>
      </c>
      <c r="C151" s="59"/>
      <c r="D151" s="60"/>
      <c r="E151" s="92"/>
    </row>
    <row r="152" spans="1:5" s="31" customFormat="1" ht="12">
      <c r="A152" s="57"/>
      <c r="B152" s="72" t="s">
        <v>70</v>
      </c>
      <c r="C152" s="59"/>
      <c r="D152" s="60"/>
      <c r="E152" s="92"/>
    </row>
    <row r="153" spans="1:5" s="31" customFormat="1" ht="12">
      <c r="A153" s="57"/>
      <c r="B153" s="72" t="s">
        <v>68</v>
      </c>
      <c r="C153" s="59"/>
      <c r="D153" s="60"/>
      <c r="E153" s="92"/>
    </row>
    <row r="154" spans="1:5" s="31" customFormat="1" ht="12">
      <c r="A154" s="57"/>
      <c r="B154" s="72" t="s">
        <v>55</v>
      </c>
      <c r="C154" s="59"/>
      <c r="D154" s="60"/>
      <c r="E154" s="92"/>
    </row>
    <row r="155" spans="1:5" s="31" customFormat="1" ht="12">
      <c r="A155" s="57"/>
      <c r="B155" s="72" t="s">
        <v>56</v>
      </c>
      <c r="C155" s="59"/>
      <c r="D155" s="60"/>
      <c r="E155" s="92"/>
    </row>
    <row r="156" spans="1:5" s="31" customFormat="1" ht="12">
      <c r="A156" s="57"/>
      <c r="B156" s="72" t="s">
        <v>57</v>
      </c>
      <c r="C156" s="59"/>
      <c r="D156" s="60"/>
      <c r="E156" s="92"/>
    </row>
    <row r="157" spans="1:5" s="31" customFormat="1" ht="12">
      <c r="A157" s="57"/>
      <c r="B157" s="61" t="str">
        <f>$G$227</f>
        <v>Units:</v>
      </c>
      <c r="C157" s="62">
        <v>1</v>
      </c>
      <c r="D157" s="62" t="s">
        <v>85</v>
      </c>
      <c r="E157" s="93">
        <f>IF(C157&lt;=1,2*C157,2*C157+1)</f>
        <v>2</v>
      </c>
    </row>
    <row r="158" spans="1:5" s="31" customFormat="1" ht="12">
      <c r="A158" s="57"/>
      <c r="B158" s="34" t="str">
        <f>$B$180</f>
        <v>Duration:</v>
      </c>
      <c r="C158" s="38" t="s">
        <v>21</v>
      </c>
      <c r="D158" s="63" t="s">
        <v>77</v>
      </c>
      <c r="E158" s="100">
        <f>LOOKUP(C158,$C$181:$C$183,$D$181:$D$183)</f>
        <v>0</v>
      </c>
    </row>
    <row r="159" spans="1:5" s="31" customFormat="1" ht="12">
      <c r="A159" s="57"/>
      <c r="B159" s="66" t="str">
        <f>$G$228</f>
        <v>Total:</v>
      </c>
      <c r="C159" s="59"/>
      <c r="D159" s="60"/>
      <c r="E159" s="92">
        <f>SUM(E157:E158)</f>
        <v>2</v>
      </c>
    </row>
    <row r="160" spans="1:5" s="31" customFormat="1" ht="12">
      <c r="A160" s="57"/>
      <c r="C160" s="32"/>
      <c r="D160" s="33"/>
      <c r="E160" s="98"/>
    </row>
    <row r="161" spans="1:5" s="31" customFormat="1" ht="12">
      <c r="A161" s="57" t="str">
        <f>"Summon an average of "&amp;1*C167&amp;IF(C167=1," creature"," creatures")&amp;" [per unit]"</f>
        <v>Summon an average of 1 creature [per unit]</v>
      </c>
      <c r="B161" s="58"/>
      <c r="C161" s="59"/>
      <c r="D161" s="60"/>
      <c r="E161" s="92"/>
    </row>
    <row r="162" spans="1:5" s="31" customFormat="1" ht="12">
      <c r="A162" s="58"/>
      <c r="B162" s="72" t="s">
        <v>63</v>
      </c>
      <c r="C162" s="59"/>
      <c r="D162" s="60"/>
      <c r="E162" s="92"/>
    </row>
    <row r="163" spans="1:5" s="31" customFormat="1" ht="12">
      <c r="A163" s="58"/>
      <c r="B163" s="72" t="s">
        <v>64</v>
      </c>
      <c r="C163" s="59"/>
      <c r="D163" s="60"/>
      <c r="E163" s="92"/>
    </row>
    <row r="164" spans="1:5" s="31" customFormat="1" ht="12">
      <c r="A164" s="58"/>
      <c r="B164" s="72" t="s">
        <v>65</v>
      </c>
      <c r="C164" s="59"/>
      <c r="D164" s="60"/>
      <c r="E164" s="92"/>
    </row>
    <row r="165" spans="1:5" s="31" customFormat="1" ht="12">
      <c r="A165" s="58"/>
      <c r="B165" s="72" t="s">
        <v>75</v>
      </c>
      <c r="C165" s="59"/>
      <c r="D165" s="60"/>
      <c r="E165" s="92"/>
    </row>
    <row r="166" spans="1:5" s="31" customFormat="1" ht="12">
      <c r="A166" s="57"/>
      <c r="B166" s="72" t="s">
        <v>24</v>
      </c>
      <c r="C166" s="59"/>
      <c r="D166" s="60"/>
      <c r="E166" s="92"/>
    </row>
    <row r="167" spans="1:5" s="31" customFormat="1" ht="12">
      <c r="A167" s="57"/>
      <c r="B167" s="61" t="str">
        <f>$G$227</f>
        <v>Units:</v>
      </c>
      <c r="C167" s="62">
        <v>1</v>
      </c>
      <c r="D167" s="62" t="s">
        <v>85</v>
      </c>
      <c r="E167" s="93">
        <f>IF(C167&lt;=1,2*C167,2*C167+1)</f>
        <v>2</v>
      </c>
    </row>
    <row r="168" spans="1:5" s="31" customFormat="1" ht="12">
      <c r="A168" s="57"/>
      <c r="B168" s="34" t="str">
        <f>$B$180</f>
        <v>Duration:</v>
      </c>
      <c r="C168" s="38" t="s">
        <v>21</v>
      </c>
      <c r="D168" s="63" t="s">
        <v>77</v>
      </c>
      <c r="E168" s="100">
        <f>LOOKUP(C168,$C$181:$C$183,$D$181:$D$183)</f>
        <v>0</v>
      </c>
    </row>
    <row r="169" spans="1:5" s="31" customFormat="1" ht="12">
      <c r="A169" s="57"/>
      <c r="B169" s="73" t="str">
        <f>B224</f>
        <v>Control:</v>
      </c>
      <c r="C169" s="56" t="s">
        <v>59</v>
      </c>
      <c r="D169" s="74" t="s">
        <v>84</v>
      </c>
      <c r="E169" s="101">
        <f>LOOKUP(C169,$C$225:$C$228,$D$225:$D$228)</f>
        <v>0</v>
      </c>
    </row>
    <row r="170" spans="1:5" s="31" customFormat="1" ht="12">
      <c r="A170" s="57"/>
      <c r="B170" s="66" t="str">
        <f>$G$228</f>
        <v>Total:</v>
      </c>
      <c r="C170" s="59"/>
      <c r="D170" s="60"/>
      <c r="E170" s="92">
        <f>SUM(E167:E169)</f>
        <v>2</v>
      </c>
    </row>
    <row r="172" ht="18">
      <c r="G172" s="75" t="s">
        <v>89</v>
      </c>
    </row>
    <row r="173" spans="1:5" s="31" customFormat="1" ht="12">
      <c r="A173" s="30" t="s">
        <v>76</v>
      </c>
      <c r="C173" s="32"/>
      <c r="D173" s="33"/>
      <c r="E173" s="98"/>
    </row>
    <row r="174" spans="1:5" s="31" customFormat="1" ht="12">
      <c r="A174" s="30"/>
      <c r="B174" s="34" t="s">
        <v>0</v>
      </c>
      <c r="C174" s="35" t="s">
        <v>3</v>
      </c>
      <c r="D174" s="36" t="s">
        <v>90</v>
      </c>
      <c r="E174" s="98"/>
    </row>
    <row r="175" spans="1:5" s="31" customFormat="1" ht="12">
      <c r="A175" s="30"/>
      <c r="B175" s="37"/>
      <c r="C175" s="38" t="s">
        <v>8</v>
      </c>
      <c r="D175" s="63">
        <v>1</v>
      </c>
      <c r="E175" s="98"/>
    </row>
    <row r="176" spans="1:5" s="31" customFormat="1" ht="12">
      <c r="A176" s="30"/>
      <c r="B176" s="37"/>
      <c r="C176" s="38" t="s">
        <v>9</v>
      </c>
      <c r="D176" s="63">
        <v>2</v>
      </c>
      <c r="E176" s="98"/>
    </row>
    <row r="177" spans="1:5" s="31" customFormat="1" ht="12">
      <c r="A177" s="30"/>
      <c r="B177" s="37"/>
      <c r="C177" s="38" t="s">
        <v>17</v>
      </c>
      <c r="D177" s="63">
        <v>4</v>
      </c>
      <c r="E177" s="98"/>
    </row>
    <row r="178" spans="1:5" s="31" customFormat="1" ht="12">
      <c r="A178" s="30"/>
      <c r="C178" s="32"/>
      <c r="D178" s="33"/>
      <c r="E178" s="98"/>
    </row>
    <row r="179" spans="1:5" s="31" customFormat="1" ht="12">
      <c r="A179" s="30" t="s">
        <v>77</v>
      </c>
      <c r="C179" s="32"/>
      <c r="D179" s="33"/>
      <c r="E179" s="98"/>
    </row>
    <row r="180" spans="1:5" s="31" customFormat="1" ht="12">
      <c r="A180" s="30"/>
      <c r="B180" s="34" t="s">
        <v>0</v>
      </c>
      <c r="C180" s="35" t="s">
        <v>3</v>
      </c>
      <c r="D180" s="36" t="s">
        <v>2</v>
      </c>
      <c r="E180" s="98"/>
    </row>
    <row r="181" spans="1:5" s="31" customFormat="1" ht="12">
      <c r="A181" s="30"/>
      <c r="B181" s="37"/>
      <c r="C181" s="38" t="s">
        <v>21</v>
      </c>
      <c r="D181" s="63">
        <v>0</v>
      </c>
      <c r="E181" s="98"/>
    </row>
    <row r="182" spans="1:5" s="31" customFormat="1" ht="12">
      <c r="A182" s="30"/>
      <c r="B182" s="37"/>
      <c r="C182" s="38" t="s">
        <v>9</v>
      </c>
      <c r="D182" s="63">
        <v>2</v>
      </c>
      <c r="E182" s="98"/>
    </row>
    <row r="183" spans="1:5" s="31" customFormat="1" ht="12">
      <c r="A183" s="30"/>
      <c r="B183" s="37"/>
      <c r="C183" s="38" t="s">
        <v>19</v>
      </c>
      <c r="D183" s="63">
        <v>4</v>
      </c>
      <c r="E183" s="98"/>
    </row>
    <row r="184" spans="1:5" s="31" customFormat="1" ht="12">
      <c r="A184" s="30"/>
      <c r="C184" s="32"/>
      <c r="D184" s="33"/>
      <c r="E184" s="98"/>
    </row>
    <row r="185" spans="1:5" s="31" customFormat="1" ht="12">
      <c r="A185" s="30" t="s">
        <v>78</v>
      </c>
      <c r="C185" s="32"/>
      <c r="D185" s="33"/>
      <c r="E185" s="98"/>
    </row>
    <row r="186" spans="1:5" s="31" customFormat="1" ht="12">
      <c r="A186" s="30"/>
      <c r="B186" s="39" t="s">
        <v>7</v>
      </c>
      <c r="C186" s="40" t="s">
        <v>3</v>
      </c>
      <c r="D186" s="41" t="s">
        <v>90</v>
      </c>
      <c r="E186" s="98"/>
    </row>
    <row r="187" spans="1:5" s="31" customFormat="1" ht="12">
      <c r="A187" s="30"/>
      <c r="B187" s="39"/>
      <c r="C187" s="42" t="s">
        <v>10</v>
      </c>
      <c r="D187" s="70">
        <v>1</v>
      </c>
      <c r="E187" s="98"/>
    </row>
    <row r="188" spans="1:5" s="31" customFormat="1" ht="12">
      <c r="A188" s="30"/>
      <c r="B188" s="39"/>
      <c r="C188" s="42" t="s">
        <v>23</v>
      </c>
      <c r="D188" s="70">
        <v>2</v>
      </c>
      <c r="E188" s="98"/>
    </row>
    <row r="189" spans="1:5" s="31" customFormat="1" ht="12">
      <c r="A189" s="30"/>
      <c r="C189" s="32"/>
      <c r="D189" s="33"/>
      <c r="E189" s="98"/>
    </row>
    <row r="190" spans="1:5" s="31" customFormat="1" ht="12">
      <c r="A190" s="30" t="s">
        <v>79</v>
      </c>
      <c r="C190" s="32"/>
      <c r="D190" s="33"/>
      <c r="E190" s="98"/>
    </row>
    <row r="191" spans="1:5" s="31" customFormat="1" ht="12">
      <c r="A191" s="30"/>
      <c r="B191" s="43" t="s">
        <v>1</v>
      </c>
      <c r="C191" s="44" t="s">
        <v>3</v>
      </c>
      <c r="D191" s="45" t="s">
        <v>2</v>
      </c>
      <c r="E191" s="102"/>
    </row>
    <row r="192" spans="1:5" s="31" customFormat="1" ht="12">
      <c r="A192" s="30"/>
      <c r="B192" s="46"/>
      <c r="C192" s="47" t="s">
        <v>11</v>
      </c>
      <c r="D192" s="64">
        <v>0</v>
      </c>
      <c r="E192" s="98"/>
    </row>
    <row r="193" spans="1:5" s="31" customFormat="1" ht="12">
      <c r="A193" s="30"/>
      <c r="B193" s="46"/>
      <c r="C193" s="47" t="s">
        <v>12</v>
      </c>
      <c r="D193" s="64">
        <v>1</v>
      </c>
      <c r="E193" s="98"/>
    </row>
    <row r="194" spans="1:5" s="31" customFormat="1" ht="12">
      <c r="A194" s="30"/>
      <c r="B194" s="46"/>
      <c r="C194" s="47" t="s">
        <v>13</v>
      </c>
      <c r="D194" s="64">
        <v>2</v>
      </c>
      <c r="E194" s="98"/>
    </row>
    <row r="195" spans="1:5" s="31" customFormat="1" ht="12">
      <c r="A195" s="30"/>
      <c r="C195" s="32"/>
      <c r="D195" s="33"/>
      <c r="E195" s="98"/>
    </row>
    <row r="196" spans="1:5" s="31" customFormat="1" ht="12">
      <c r="A196" s="30" t="s">
        <v>80</v>
      </c>
      <c r="C196" s="32"/>
      <c r="D196" s="33"/>
      <c r="E196" s="98"/>
    </row>
    <row r="197" spans="1:5" s="31" customFormat="1" ht="12">
      <c r="A197" s="30"/>
      <c r="B197" s="43" t="s">
        <v>1</v>
      </c>
      <c r="C197" s="44" t="s">
        <v>3</v>
      </c>
      <c r="D197" s="45" t="s">
        <v>2</v>
      </c>
      <c r="E197" s="98"/>
    </row>
    <row r="198" spans="1:5" s="31" customFormat="1" ht="12">
      <c r="A198" s="30"/>
      <c r="B198" s="46"/>
      <c r="C198" s="47" t="s">
        <v>12</v>
      </c>
      <c r="D198" s="64">
        <v>0</v>
      </c>
      <c r="E198" s="98"/>
    </row>
    <row r="199" spans="1:5" s="31" customFormat="1" ht="12">
      <c r="A199" s="30"/>
      <c r="B199" s="46"/>
      <c r="C199" s="47" t="s">
        <v>13</v>
      </c>
      <c r="D199" s="64">
        <v>1</v>
      </c>
      <c r="E199" s="98"/>
    </row>
    <row r="200" spans="1:5" s="31" customFormat="1" ht="12">
      <c r="A200" s="30"/>
      <c r="C200" s="32"/>
      <c r="D200" s="33"/>
      <c r="E200" s="98"/>
    </row>
    <row r="201" spans="1:5" s="31" customFormat="1" ht="12">
      <c r="A201" s="30" t="s">
        <v>81</v>
      </c>
      <c r="C201" s="32"/>
      <c r="D201" s="33"/>
      <c r="E201" s="98"/>
    </row>
    <row r="202" spans="1:5" s="31" customFormat="1" ht="12">
      <c r="A202" s="30"/>
      <c r="B202" s="48" t="s">
        <v>6</v>
      </c>
      <c r="C202" s="49" t="s">
        <v>3</v>
      </c>
      <c r="D202" s="50" t="s">
        <v>2</v>
      </c>
      <c r="E202" s="98"/>
    </row>
    <row r="203" spans="1:5" s="31" customFormat="1" ht="12">
      <c r="A203" s="30"/>
      <c r="B203" s="51"/>
      <c r="C203" s="52" t="s">
        <v>16</v>
      </c>
      <c r="D203" s="65">
        <v>-1</v>
      </c>
      <c r="E203" s="98"/>
    </row>
    <row r="204" spans="1:5" s="31" customFormat="1" ht="12">
      <c r="A204" s="30"/>
      <c r="B204" s="51"/>
      <c r="C204" s="52" t="s">
        <v>15</v>
      </c>
      <c r="D204" s="65">
        <v>0</v>
      </c>
      <c r="E204" s="98"/>
    </row>
    <row r="205" spans="1:5" s="31" customFormat="1" ht="12">
      <c r="A205" s="30"/>
      <c r="B205" s="51"/>
      <c r="C205" s="52" t="s">
        <v>14</v>
      </c>
      <c r="D205" s="65">
        <v>2</v>
      </c>
      <c r="E205" s="98"/>
    </row>
    <row r="206" spans="1:5" s="31" customFormat="1" ht="12">
      <c r="A206" s="30"/>
      <c r="B206" s="51"/>
      <c r="C206" s="52" t="s">
        <v>38</v>
      </c>
      <c r="D206" s="65">
        <v>4</v>
      </c>
      <c r="E206" s="98"/>
    </row>
    <row r="207" spans="1:5" s="31" customFormat="1" ht="12">
      <c r="A207" s="30"/>
      <c r="B207" s="51"/>
      <c r="C207" s="52" t="s">
        <v>41</v>
      </c>
      <c r="D207" s="65">
        <v>6</v>
      </c>
      <c r="E207" s="98"/>
    </row>
    <row r="208" spans="1:5" s="31" customFormat="1" ht="12">
      <c r="A208" s="30"/>
      <c r="C208" s="32"/>
      <c r="D208" s="33"/>
      <c r="E208" s="98"/>
    </row>
    <row r="209" spans="1:5" s="31" customFormat="1" ht="12">
      <c r="A209" s="30" t="s">
        <v>82</v>
      </c>
      <c r="C209" s="32"/>
      <c r="D209" s="33"/>
      <c r="E209" s="98"/>
    </row>
    <row r="210" spans="1:5" s="31" customFormat="1" ht="12">
      <c r="A210" s="30"/>
      <c r="B210" s="48" t="s">
        <v>6</v>
      </c>
      <c r="C210" s="49" t="s">
        <v>3</v>
      </c>
      <c r="D210" s="50" t="s">
        <v>2</v>
      </c>
      <c r="E210" s="98"/>
    </row>
    <row r="211" spans="1:5" s="31" customFormat="1" ht="12">
      <c r="A211" s="30"/>
      <c r="B211" s="51"/>
      <c r="C211" s="52" t="s">
        <v>16</v>
      </c>
      <c r="D211" s="65">
        <v>-1</v>
      </c>
      <c r="E211" s="98"/>
    </row>
    <row r="212" spans="1:5" s="31" customFormat="1" ht="12">
      <c r="A212" s="30"/>
      <c r="B212" s="51"/>
      <c r="C212" s="52" t="s">
        <v>15</v>
      </c>
      <c r="D212" s="65">
        <v>0</v>
      </c>
      <c r="E212" s="98"/>
    </row>
    <row r="213" spans="1:5" s="31" customFormat="1" ht="12">
      <c r="A213" s="30"/>
      <c r="B213" s="51"/>
      <c r="C213" s="52" t="s">
        <v>14</v>
      </c>
      <c r="D213" s="65">
        <v>2</v>
      </c>
      <c r="E213" s="98"/>
    </row>
    <row r="214" spans="1:5" s="31" customFormat="1" ht="12">
      <c r="A214" s="30"/>
      <c r="B214" s="51"/>
      <c r="C214" s="52" t="s">
        <v>38</v>
      </c>
      <c r="D214" s="65">
        <v>4</v>
      </c>
      <c r="E214" s="98"/>
    </row>
    <row r="215" spans="1:5" s="31" customFormat="1" ht="12">
      <c r="A215" s="30"/>
      <c r="C215" s="32"/>
      <c r="D215" s="33"/>
      <c r="E215" s="98"/>
    </row>
    <row r="216" spans="1:5" s="31" customFormat="1" ht="12">
      <c r="A216" s="30" t="s">
        <v>83</v>
      </c>
      <c r="C216" s="32"/>
      <c r="D216" s="33"/>
      <c r="E216" s="98"/>
    </row>
    <row r="217" spans="1:5" s="31" customFormat="1" ht="12">
      <c r="A217" s="30"/>
      <c r="B217" s="53" t="s">
        <v>26</v>
      </c>
      <c r="C217" s="54" t="s">
        <v>3</v>
      </c>
      <c r="D217" s="55" t="s">
        <v>2</v>
      </c>
      <c r="E217" s="98"/>
    </row>
    <row r="218" spans="1:5" s="31" customFormat="1" ht="12">
      <c r="A218" s="30"/>
      <c r="B218" s="53"/>
      <c r="C218" s="56" t="s">
        <v>32</v>
      </c>
      <c r="D218" s="74">
        <v>0</v>
      </c>
      <c r="E218" s="98"/>
    </row>
    <row r="219" spans="1:5" s="31" customFormat="1" ht="12">
      <c r="A219" s="30"/>
      <c r="B219" s="53"/>
      <c r="C219" s="56" t="s">
        <v>33</v>
      </c>
      <c r="D219" s="74">
        <v>2</v>
      </c>
      <c r="E219" s="98"/>
    </row>
    <row r="220" spans="1:5" s="31" customFormat="1" ht="12">
      <c r="A220" s="30"/>
      <c r="B220" s="53"/>
      <c r="C220" s="56" t="s">
        <v>34</v>
      </c>
      <c r="D220" s="74">
        <v>4</v>
      </c>
      <c r="E220" s="98"/>
    </row>
    <row r="221" spans="1:5" s="31" customFormat="1" ht="12">
      <c r="A221" s="30"/>
      <c r="B221" s="53"/>
      <c r="C221" s="56" t="s">
        <v>35</v>
      </c>
      <c r="D221" s="74">
        <v>8</v>
      </c>
      <c r="E221" s="98"/>
    </row>
    <row r="222" spans="1:5" s="31" customFormat="1" ht="12">
      <c r="A222" s="30"/>
      <c r="C222" s="32"/>
      <c r="D222" s="33"/>
      <c r="E222" s="98"/>
    </row>
    <row r="223" spans="1:5" s="31" customFormat="1" ht="12">
      <c r="A223" s="30" t="s">
        <v>84</v>
      </c>
      <c r="C223" s="32"/>
      <c r="D223" s="33"/>
      <c r="E223" s="98"/>
    </row>
    <row r="224" spans="1:5" s="31" customFormat="1" ht="12">
      <c r="A224" s="30"/>
      <c r="B224" s="53" t="s">
        <v>58</v>
      </c>
      <c r="C224" s="54" t="s">
        <v>3</v>
      </c>
      <c r="D224" s="55" t="s">
        <v>2</v>
      </c>
      <c r="E224" s="98"/>
    </row>
    <row r="225" spans="1:5" s="31" customFormat="1" ht="12">
      <c r="A225" s="30"/>
      <c r="B225" s="53"/>
      <c r="C225" s="56" t="s">
        <v>59</v>
      </c>
      <c r="D225" s="74">
        <v>0</v>
      </c>
      <c r="E225" s="98"/>
    </row>
    <row r="226" spans="1:5" s="31" customFormat="1" ht="12">
      <c r="A226" s="30"/>
      <c r="B226" s="53"/>
      <c r="C226" s="56" t="s">
        <v>60</v>
      </c>
      <c r="D226" s="74">
        <v>2</v>
      </c>
      <c r="E226" s="98"/>
    </row>
    <row r="227" spans="1:7" s="31" customFormat="1" ht="12.75">
      <c r="A227" s="30"/>
      <c r="B227" s="53"/>
      <c r="C227" s="56" t="s">
        <v>61</v>
      </c>
      <c r="D227" s="74">
        <v>4</v>
      </c>
      <c r="E227" s="98"/>
      <c r="G227" s="29" t="s">
        <v>28</v>
      </c>
    </row>
    <row r="228" spans="1:7" s="31" customFormat="1" ht="12.75">
      <c r="A228" s="30"/>
      <c r="B228" s="53"/>
      <c r="C228" s="56" t="s">
        <v>62</v>
      </c>
      <c r="D228" s="74">
        <v>8</v>
      </c>
      <c r="E228" s="98"/>
      <c r="G228" s="29" t="s">
        <v>5</v>
      </c>
    </row>
    <row r="230" ht="12.75">
      <c r="A230" s="1" t="s">
        <v>92</v>
      </c>
    </row>
    <row r="231" spans="2:4" ht="12.75">
      <c r="B231" s="76" t="s">
        <v>93</v>
      </c>
      <c r="C231" s="77" t="s">
        <v>3</v>
      </c>
      <c r="D231" s="78" t="s">
        <v>2</v>
      </c>
    </row>
    <row r="232" spans="2:4" ht="12.75">
      <c r="B232" s="86"/>
      <c r="C232" s="56" t="s">
        <v>97</v>
      </c>
      <c r="D232" s="74">
        <v>0</v>
      </c>
    </row>
    <row r="233" spans="2:4" ht="12.75">
      <c r="B233" s="76"/>
      <c r="C233" s="82" t="s">
        <v>94</v>
      </c>
      <c r="D233" s="83">
        <v>-1</v>
      </c>
    </row>
    <row r="234" spans="2:4" ht="12.75">
      <c r="B234" s="76"/>
      <c r="C234" s="82" t="s">
        <v>95</v>
      </c>
      <c r="D234" s="83">
        <v>1</v>
      </c>
    </row>
    <row r="235" spans="2:4" ht="12.75">
      <c r="B235" s="79" t="s">
        <v>96</v>
      </c>
      <c r="C235" s="80"/>
      <c r="D235" s="81"/>
    </row>
    <row r="236" spans="2:4" ht="12.75">
      <c r="B236" s="84" t="s">
        <v>98</v>
      </c>
      <c r="D236" s="81"/>
    </row>
    <row r="237" spans="2:4" ht="12.75">
      <c r="B237" s="79" t="s">
        <v>99</v>
      </c>
      <c r="C237" s="80"/>
      <c r="D237" s="81"/>
    </row>
    <row r="238" ht="12.75">
      <c r="B238" s="85" t="s">
        <v>100</v>
      </c>
    </row>
  </sheetData>
  <sheetProtection/>
  <dataValidations count="9">
    <dataValidation type="list" allowBlank="1" showInputMessage="1" showErrorMessage="1" sqref="C168 C109 C83 C55 C125 C42 C69 C96 C132 C138 C158">
      <formula1>$C$181:$C$183</formula1>
    </dataValidation>
    <dataValidation type="list" allowBlank="1" showInputMessage="1" showErrorMessage="1" sqref="C169">
      <formula1>$C$225:$C$228</formula1>
    </dataValidation>
    <dataValidation type="list" allowBlank="1" showInputMessage="1" showErrorMessage="1" sqref="C144 C104 C91 C50 C16 C63 C37 C78 C23 C5 C118">
      <formula1>$C$192:$C$194</formula1>
    </dataValidation>
    <dataValidation type="list" allowBlank="1" showInputMessage="1" showErrorMessage="1" sqref="C133">
      <formula1>$C$218:$C$221</formula1>
    </dataValidation>
    <dataValidation type="list" allowBlank="1" showInputMessage="1" showErrorMessage="1" sqref="C111 C85 C57 C30 C44 C71 C98">
      <formula1>$C$187:$C$188</formula1>
    </dataValidation>
    <dataValidation type="list" allowBlank="1" showInputMessage="1" showErrorMessage="1" sqref="C110 C70 C43 C29 C84 C56 C97">
      <formula1>$C$193:$C$194</formula1>
    </dataValidation>
    <dataValidation type="list" allowBlank="1" showInputMessage="1" showErrorMessage="1" sqref="C62 C15 C22 C36 C77 C49 C90 C103">
      <formula1>$C$175:$C$177</formula1>
    </dataValidation>
    <dataValidation type="list" allowBlank="1" showInputMessage="1" showErrorMessage="1" sqref="C64 C31 C17">
      <formula1>$C$203:$C$206</formula1>
    </dataValidation>
    <dataValidation type="list" allowBlank="1" showInputMessage="1" showErrorMessage="1" sqref="C6">
      <formula1>$C$203:$C$207</formula1>
    </dataValidation>
  </dataValidations>
  <printOptions/>
  <pageMargins left="0.75" right="0.75" top="0.75" bottom="0.5" header="0.5" footer="0.5"/>
  <pageSetup horizontalDpi="600" verticalDpi="600" orientation="portrait" r:id="rId1"/>
  <rowBreaks count="2" manualBreakCount="2">
    <brk id="113" max="255" man="1"/>
    <brk id="171" max="255" man="1"/>
  </rowBreaks>
</worksheet>
</file>

<file path=xl/worksheets/sheet2.xml><?xml version="1.0" encoding="utf-8"?>
<worksheet xmlns="http://schemas.openxmlformats.org/spreadsheetml/2006/main" xmlns:r="http://schemas.openxmlformats.org/officeDocument/2006/relationships">
  <dimension ref="A2:C3"/>
  <sheetViews>
    <sheetView zoomScalePageLayoutView="0" workbookViewId="0" topLeftCell="A1">
      <selection activeCell="C4" sqref="C4"/>
    </sheetView>
  </sheetViews>
  <sheetFormatPr defaultColWidth="9.140625" defaultRowHeight="12.75"/>
  <cols>
    <col min="3" max="3" width="36.7109375" style="0" customWidth="1"/>
  </cols>
  <sheetData>
    <row r="2" spans="1:3" ht="12.75">
      <c r="A2" s="25" t="s">
        <v>71</v>
      </c>
      <c r="B2" s="25" t="s">
        <v>72</v>
      </c>
      <c r="C2" s="25" t="s">
        <v>73</v>
      </c>
    </row>
    <row r="3" spans="1:3" ht="12.75">
      <c r="A3" s="26">
        <v>1</v>
      </c>
      <c r="B3" s="27">
        <v>39286</v>
      </c>
      <c r="C3" t="s">
        <v>74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57"/>
  <sheetViews>
    <sheetView zoomScalePageLayoutView="0" workbookViewId="0" topLeftCell="A43">
      <selection activeCell="G48" sqref="G48"/>
    </sheetView>
  </sheetViews>
  <sheetFormatPr defaultColWidth="9.140625" defaultRowHeight="12.75"/>
  <cols>
    <col min="3" max="3" width="23.7109375" style="0" bestFit="1" customWidth="1"/>
  </cols>
  <sheetData>
    <row r="2" spans="1:4" ht="12.75">
      <c r="A2" s="7" t="str">
        <f>"Increase any one non-racial standard ability score (e.g. strength) by an average of "&amp;1*C3*LOOKUP(C4,'Spell Maker'!$C$175:$C$177,'Spell Maker'!$D$175:$D$177)</f>
        <v>Increase any one non-racial standard ability score (e.g. strength) by an average of 1</v>
      </c>
      <c r="B2" s="8"/>
      <c r="C2" s="9"/>
      <c r="D2" s="8"/>
    </row>
    <row r="3" spans="1:4" ht="12.75">
      <c r="A3" s="7"/>
      <c r="B3" s="10" t="str">
        <f>'Spell Maker'!$G$227</f>
        <v>Units:</v>
      </c>
      <c r="C3" s="11">
        <v>1</v>
      </c>
      <c r="D3" s="8">
        <f>IF(C3&lt;=1,2*C3,2*C3+1)</f>
        <v>2</v>
      </c>
    </row>
    <row r="4" spans="1:4" ht="12.75">
      <c r="A4" s="7"/>
      <c r="B4" s="10" t="str">
        <f>'Spell Maker'!$B$174</f>
        <v>Duration:</v>
      </c>
      <c r="C4" s="9" t="s">
        <v>8</v>
      </c>
      <c r="D4" s="12" t="s">
        <v>4</v>
      </c>
    </row>
    <row r="5" spans="1:4" ht="12.75">
      <c r="A5" s="7"/>
      <c r="B5" s="10" t="str">
        <f>'Spell Maker'!$B$191</f>
        <v>Target(s):</v>
      </c>
      <c r="C5" s="9" t="s">
        <v>11</v>
      </c>
      <c r="D5" s="8">
        <f>LOOKUP(C5,'Spell Maker'!$C$192:$C$194,'Spell Maker'!$D$192:$D$194)</f>
        <v>0</v>
      </c>
    </row>
    <row r="6" spans="1:4" ht="12.75">
      <c r="A6" s="7"/>
      <c r="B6" s="10" t="str">
        <f>'Spell Maker'!$G$228</f>
        <v>Total:</v>
      </c>
      <c r="C6" s="9"/>
      <c r="D6" s="8">
        <f>SUM(D3:D5)</f>
        <v>2</v>
      </c>
    </row>
    <row r="7" spans="1:3" ht="12.75">
      <c r="A7" s="1"/>
      <c r="C7" s="2"/>
    </row>
    <row r="8" ht="12.75">
      <c r="A8" s="13" t="s">
        <v>36</v>
      </c>
    </row>
    <row r="10" spans="1:4" ht="12.75">
      <c r="A10" s="7" t="str">
        <f>"Increase number of attacks per round by an average of "&amp;0.5*C14*LOOKUP(C15,'Spell Maker'!$C$175:$C$177,'Spell Maker'!$D$175:$D$177)</f>
        <v>Increase number of attacks per round by an average of 1</v>
      </c>
      <c r="B10" s="8"/>
      <c r="C10" s="9"/>
      <c r="D10" s="8"/>
    </row>
    <row r="11" spans="1:4" ht="12.75">
      <c r="A11" s="7"/>
      <c r="B11" s="14" t="s">
        <v>29</v>
      </c>
      <c r="C11" s="9"/>
      <c r="D11" s="8"/>
    </row>
    <row r="12" spans="1:4" ht="12.75">
      <c r="A12" s="7"/>
      <c r="B12" s="14" t="s">
        <v>30</v>
      </c>
      <c r="C12" s="9"/>
      <c r="D12" s="8"/>
    </row>
    <row r="13" spans="1:4" ht="12.75">
      <c r="A13" s="7"/>
      <c r="B13" s="14" t="s">
        <v>31</v>
      </c>
      <c r="C13" s="9"/>
      <c r="D13" s="8"/>
    </row>
    <row r="14" spans="1:4" ht="12.75">
      <c r="A14" s="7"/>
      <c r="B14" s="10" t="str">
        <f>'Spell Maker'!$G$227</f>
        <v>Units:</v>
      </c>
      <c r="C14" s="11">
        <v>1</v>
      </c>
      <c r="D14" s="8">
        <f>IF(C14&lt;=1,8*C14,8*C14+1)</f>
        <v>8</v>
      </c>
    </row>
    <row r="15" spans="1:4" ht="12.75">
      <c r="A15" s="7"/>
      <c r="B15" s="10" t="str">
        <f>'Spell Maker'!$B$174</f>
        <v>Duration:</v>
      </c>
      <c r="C15" s="9" t="s">
        <v>9</v>
      </c>
      <c r="D15" s="12" t="s">
        <v>4</v>
      </c>
    </row>
    <row r="16" spans="1:4" ht="12.75">
      <c r="A16" s="7"/>
      <c r="B16" s="10" t="str">
        <f>'Spell Maker'!$B$191</f>
        <v>Target(s):</v>
      </c>
      <c r="C16" s="9" t="s">
        <v>11</v>
      </c>
      <c r="D16" s="8">
        <f>LOOKUP(C16,'Spell Maker'!$C$192:$C$194,'Spell Maker'!$D$192:$D$194)</f>
        <v>0</v>
      </c>
    </row>
    <row r="17" spans="1:4" ht="12.75">
      <c r="A17" s="7"/>
      <c r="B17" s="10" t="str">
        <f>'Spell Maker'!$G$228</f>
        <v>Total:</v>
      </c>
      <c r="C17" s="9"/>
      <c r="D17" s="8">
        <f>SUM(D14:D16)</f>
        <v>8</v>
      </c>
    </row>
    <row r="18" spans="1:3" ht="12.75">
      <c r="A18" s="1"/>
      <c r="C18" s="2"/>
    </row>
    <row r="19" ht="12.75">
      <c r="A19" s="13" t="s">
        <v>37</v>
      </c>
    </row>
    <row r="21" spans="1:4" ht="12.75">
      <c r="A21" s="7" t="str">
        <f>"Raise dead by restoring negative hit points by an average of "&amp;1*C24</f>
        <v>Raise dead by restoring negative hit points by an average of 1</v>
      </c>
      <c r="B21" s="8"/>
      <c r="C21" s="9"/>
      <c r="D21" s="8"/>
    </row>
    <row r="22" spans="1:4" ht="12.75">
      <c r="A22" s="7"/>
      <c r="B22" s="14" t="s">
        <v>39</v>
      </c>
      <c r="C22" s="9"/>
      <c r="D22" s="8"/>
    </row>
    <row r="23" spans="1:4" ht="12.75">
      <c r="A23" s="7"/>
      <c r="B23" s="14" t="s">
        <v>40</v>
      </c>
      <c r="C23" s="9"/>
      <c r="D23" s="8"/>
    </row>
    <row r="24" spans="1:4" ht="12.75">
      <c r="A24" s="7"/>
      <c r="B24" s="10" t="str">
        <f>'Spell Maker'!$G$227</f>
        <v>Units:</v>
      </c>
      <c r="C24" s="11">
        <v>1</v>
      </c>
      <c r="D24" s="8">
        <f>IF(C24&lt;=1,2*C24,2*C24+1)</f>
        <v>2</v>
      </c>
    </row>
    <row r="25" spans="1:4" ht="12.75">
      <c r="A25" s="7"/>
      <c r="B25" s="10" t="str">
        <f>'Spell Maker'!$G$228</f>
        <v>Total:</v>
      </c>
      <c r="C25" s="9"/>
      <c r="D25" s="8">
        <f>SUM(D24:D24)</f>
        <v>2</v>
      </c>
    </row>
    <row r="26" spans="1:3" ht="12.75">
      <c r="A26" s="1"/>
      <c r="C26" s="2"/>
    </row>
    <row r="27" ht="12.75">
      <c r="A27" t="s">
        <v>45</v>
      </c>
    </row>
    <row r="30" spans="1:4" ht="12.75">
      <c r="A30" s="3" t="s">
        <v>52</v>
      </c>
      <c r="B30" s="4"/>
      <c r="C30" s="5"/>
      <c r="D30" s="4"/>
    </row>
    <row r="31" spans="1:4" ht="12.75">
      <c r="A31" s="3" t="str">
        <f>"(variance from normal medium* no greater than "&amp;1*C34&amp;IF(C34=1," unit)","units)")</f>
        <v>(variance from normal medium* no greater than 1 unit)</v>
      </c>
      <c r="B31" s="4"/>
      <c r="C31" s="5"/>
      <c r="D31" s="4"/>
    </row>
    <row r="32" spans="1:4" ht="12.75">
      <c r="A32" s="3" t="s">
        <v>50</v>
      </c>
      <c r="B32" s="4"/>
      <c r="C32" s="5"/>
      <c r="D32" s="4"/>
    </row>
    <row r="33" spans="1:4" ht="12.75">
      <c r="A33" s="3"/>
      <c r="B33" s="21" t="s">
        <v>20</v>
      </c>
      <c r="C33" s="5"/>
      <c r="D33" s="4"/>
    </row>
    <row r="34" spans="1:4" ht="12.75">
      <c r="A34" s="3"/>
      <c r="B34" s="22" t="str">
        <f>'Spell Maker'!$G$227</f>
        <v>Units:</v>
      </c>
      <c r="C34" s="23">
        <v>1</v>
      </c>
      <c r="D34" s="24">
        <f>IF(C34&lt;=1,2*C34,2*C34+1)</f>
        <v>2</v>
      </c>
    </row>
    <row r="35" spans="1:4" ht="12.75">
      <c r="A35" s="3"/>
      <c r="B35" s="18" t="str">
        <f>'Spell Maker'!$B$180</f>
        <v>Duration:</v>
      </c>
      <c r="C35" s="19" t="s">
        <v>21</v>
      </c>
      <c r="D35" s="20">
        <f>LOOKUP(C35,'Spell Maker'!$C$181:$C$183,'Spell Maker'!$D$181:$D$183)</f>
        <v>0</v>
      </c>
    </row>
    <row r="36" spans="1:4" ht="12.75">
      <c r="A36" s="3"/>
      <c r="B36" s="15" t="str">
        <f>'Spell Maker'!$B$191</f>
        <v>Target(s):</v>
      </c>
      <c r="C36" s="16" t="s">
        <v>11</v>
      </c>
      <c r="D36" s="17">
        <f>LOOKUP(C36,'Spell Maker'!$C$192:$C$194,'Spell Maker'!$D$192:$D$194)</f>
        <v>0</v>
      </c>
    </row>
    <row r="37" spans="2:4" ht="12.75">
      <c r="B37" s="6" t="str">
        <f>'Spell Maker'!$G$228</f>
        <v>Total:</v>
      </c>
      <c r="C37" s="5"/>
      <c r="D37" s="4">
        <f>SUM(D34:D36)</f>
        <v>2</v>
      </c>
    </row>
    <row r="39" ht="12.75">
      <c r="A39" s="13" t="s">
        <v>51</v>
      </c>
    </row>
    <row r="48" spans="1:4" ht="12.75">
      <c r="A48" s="3" t="s">
        <v>53</v>
      </c>
      <c r="B48" s="4"/>
      <c r="C48" s="5"/>
      <c r="D48" s="4"/>
    </row>
    <row r="49" spans="1:4" ht="12.75">
      <c r="A49" s="3" t="str">
        <f>"(variance from normal spectrum* no greater than "&amp;1*C52&amp;IF(C52=1," unit)","units)")</f>
        <v>(variance from normal spectrum* no greater than 1 unit)</v>
      </c>
      <c r="B49" s="4"/>
      <c r="C49" s="5"/>
      <c r="D49" s="4"/>
    </row>
    <row r="50" spans="1:4" ht="12.75">
      <c r="A50" s="3" t="s">
        <v>54</v>
      </c>
      <c r="B50" s="4"/>
      <c r="C50" s="5"/>
      <c r="D50" s="4"/>
    </row>
    <row r="51" spans="1:4" ht="12.75">
      <c r="A51" s="3"/>
      <c r="B51" s="21" t="s">
        <v>22</v>
      </c>
      <c r="C51" s="5"/>
      <c r="D51" s="4"/>
    </row>
    <row r="52" spans="1:4" ht="12.75">
      <c r="A52" s="3"/>
      <c r="B52" s="22" t="str">
        <f>'Spell Maker'!$G$227</f>
        <v>Units:</v>
      </c>
      <c r="C52" s="23">
        <v>1</v>
      </c>
      <c r="D52" s="24">
        <f>IF(C52&lt;=1,2*C52,2*C52+1)</f>
        <v>2</v>
      </c>
    </row>
    <row r="53" spans="1:4" ht="12.75">
      <c r="A53" s="3"/>
      <c r="B53" s="18" t="str">
        <f>'Spell Maker'!$B$180</f>
        <v>Duration:</v>
      </c>
      <c r="C53" s="19" t="s">
        <v>21</v>
      </c>
      <c r="D53" s="20">
        <f>LOOKUP(C53,'Spell Maker'!$C$181:$C$183,'Spell Maker'!$D$181:$D$183)</f>
        <v>0</v>
      </c>
    </row>
    <row r="54" spans="1:4" ht="12.75">
      <c r="A54" s="3"/>
      <c r="B54" s="15" t="str">
        <f>'Spell Maker'!$B$191</f>
        <v>Target(s):</v>
      </c>
      <c r="C54" s="16" t="s">
        <v>11</v>
      </c>
      <c r="D54" s="17">
        <f>LOOKUP(C54,'Spell Maker'!$C$192:$C$194,'Spell Maker'!$D$192:$D$194)</f>
        <v>0</v>
      </c>
    </row>
    <row r="55" spans="2:4" ht="12.75">
      <c r="B55" s="6" t="str">
        <f>'Spell Maker'!$G$228</f>
        <v>Total:</v>
      </c>
      <c r="C55" s="5"/>
      <c r="D55" s="4">
        <f>SUM(D52:D54)</f>
        <v>2</v>
      </c>
    </row>
    <row r="57" ht="12.75">
      <c r="A57" s="13" t="s">
        <v>51</v>
      </c>
    </row>
  </sheetData>
  <sheetProtection/>
  <dataValidations count="5">
    <dataValidation type="list" allowBlank="1" showInputMessage="1" showErrorMessage="1" sqref="C5">
      <formula1>$C$199:$C$201</formula1>
    </dataValidation>
    <dataValidation type="list" allowBlank="1" showInputMessage="1" showErrorMessage="1" sqref="C4 C35 C53">
      <formula1>$C$185:$C$187</formula1>
    </dataValidation>
    <dataValidation type="list" allowBlank="1" showInputMessage="1" showErrorMessage="1" sqref="C16">
      <formula1>$C$193:$C$195</formula1>
    </dataValidation>
    <dataValidation type="list" allowBlank="1" showInputMessage="1" showErrorMessage="1" sqref="C15">
      <formula1>$C$179:$C$181</formula1>
    </dataValidation>
    <dataValidation type="list" allowBlank="1" showInputMessage="1" showErrorMessage="1" sqref="C36 C54">
      <formula1>$C$194:$C$196</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Michael D. Jones</cp:lastModifiedBy>
  <cp:lastPrinted>2008-10-07T12:31:44Z</cp:lastPrinted>
  <dcterms:created xsi:type="dcterms:W3CDTF">2007-01-30T14:45:58Z</dcterms:created>
  <dcterms:modified xsi:type="dcterms:W3CDTF">2009-09-30T18:44:52Z</dcterms:modified>
  <cp:category/>
  <cp:version/>
  <cp:contentType/>
  <cp:contentStatus/>
</cp:coreProperties>
</file>